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okuyama\Desktop\"/>
    </mc:Choice>
  </mc:AlternateContent>
  <bookViews>
    <workbookView xWindow="0" yWindow="0" windowWidth="10740" windowHeight="8964" tabRatio="775" activeTab="1"/>
  </bookViews>
  <sheets>
    <sheet name="計算例 (フィルタA)" sheetId="17" r:id="rId1"/>
    <sheet name="計算例 (フィルタA) (ISO分布)" sheetId="23" r:id="rId2"/>
  </sheets>
  <definedNames>
    <definedName name="_xlnm.Print_Area" localSheetId="0">'計算例 (フィルタA)'!$B$2:$S$38</definedName>
    <definedName name="_xlnm.Print_Area" localSheetId="1">'計算例 (フィルタA) (ISO分布)'!$B$2:$S$38</definedName>
  </definedNames>
  <calcPr calcId="162913"/>
</workbook>
</file>

<file path=xl/calcChain.xml><?xml version="1.0" encoding="utf-8"?>
<calcChain xmlns="http://schemas.openxmlformats.org/spreadsheetml/2006/main">
  <c r="R46" i="23" l="1"/>
  <c r="K30" i="23"/>
  <c r="I24" i="23"/>
  <c r="C24" i="23"/>
  <c r="E24" i="23" s="1"/>
  <c r="I23" i="23"/>
  <c r="C23" i="23"/>
  <c r="F23" i="23" s="1"/>
  <c r="I22" i="23"/>
  <c r="C22" i="23"/>
  <c r="F22" i="23" s="1"/>
  <c r="I21" i="23"/>
  <c r="C21" i="23"/>
  <c r="F21" i="23" s="1"/>
  <c r="I20" i="23"/>
  <c r="C20" i="23"/>
  <c r="K41" i="23" s="1"/>
  <c r="L41" i="23" s="1"/>
  <c r="I19" i="23"/>
  <c r="C19" i="23"/>
  <c r="F19" i="23" s="1"/>
  <c r="I18" i="23"/>
  <c r="C18" i="23"/>
  <c r="F18" i="23" s="1"/>
  <c r="I17" i="23"/>
  <c r="C17" i="23"/>
  <c r="F17" i="23" s="1"/>
  <c r="I16" i="23"/>
  <c r="C16" i="23"/>
  <c r="K37" i="23" s="1"/>
  <c r="K17" i="23"/>
  <c r="I15" i="23"/>
  <c r="C15" i="23"/>
  <c r="F15" i="23" s="1"/>
  <c r="I14" i="23"/>
  <c r="C14" i="23"/>
  <c r="F14" i="23" s="1"/>
  <c r="I13" i="23"/>
  <c r="C13" i="23"/>
  <c r="K13" i="23" s="1"/>
  <c r="L13" i="23" s="1"/>
  <c r="I12" i="23"/>
  <c r="C12" i="23"/>
  <c r="K12" i="23" s="1"/>
  <c r="I11" i="23"/>
  <c r="C11" i="23"/>
  <c r="K11" i="23" s="1"/>
  <c r="I10" i="23"/>
  <c r="C10" i="23"/>
  <c r="K10" i="23" s="1"/>
  <c r="K9" i="23"/>
  <c r="I9" i="23"/>
  <c r="F9" i="23"/>
  <c r="E9" i="23"/>
  <c r="K30" i="17"/>
  <c r="K17" i="17"/>
  <c r="K9" i="17"/>
  <c r="C11" i="17"/>
  <c r="K32" i="17" s="1"/>
  <c r="C12" i="17"/>
  <c r="K33" i="17" s="1"/>
  <c r="C13" i="17"/>
  <c r="K34" i="17" s="1"/>
  <c r="C14" i="17"/>
  <c r="K35" i="17" s="1"/>
  <c r="C15" i="17"/>
  <c r="K36" i="17" s="1"/>
  <c r="C16" i="17"/>
  <c r="E16" i="17" s="1"/>
  <c r="C17" i="17"/>
  <c r="K38" i="17" s="1"/>
  <c r="C18" i="17"/>
  <c r="F18" i="17" s="1"/>
  <c r="C19" i="17"/>
  <c r="K40" i="17" s="1"/>
  <c r="C20" i="17"/>
  <c r="F20" i="17" s="1"/>
  <c r="C21" i="17"/>
  <c r="K42" i="17" s="1"/>
  <c r="C22" i="17"/>
  <c r="K43" i="17" s="1"/>
  <c r="C23" i="17"/>
  <c r="K44" i="17" s="1"/>
  <c r="C24" i="17"/>
  <c r="K45" i="17" s="1"/>
  <c r="C10" i="17"/>
  <c r="K31" i="17" s="1"/>
  <c r="I19" i="17"/>
  <c r="I20" i="17"/>
  <c r="I18" i="17"/>
  <c r="I17" i="17"/>
  <c r="I16" i="17"/>
  <c r="L45" i="17" l="1"/>
  <c r="M45" i="17"/>
  <c r="M44" i="17"/>
  <c r="L44" i="17"/>
  <c r="O44" i="17" s="1"/>
  <c r="L43" i="17"/>
  <c r="O43" i="17" s="1"/>
  <c r="M43" i="17"/>
  <c r="M38" i="17"/>
  <c r="L38" i="17"/>
  <c r="N38" i="17" s="1"/>
  <c r="M42" i="17"/>
  <c r="L42" i="17"/>
  <c r="L40" i="17"/>
  <c r="N40" i="17" s="1"/>
  <c r="K39" i="17"/>
  <c r="K44" i="23"/>
  <c r="K40" i="23"/>
  <c r="E17" i="23"/>
  <c r="K43" i="23"/>
  <c r="L43" i="23" s="1"/>
  <c r="K39" i="23"/>
  <c r="K41" i="17"/>
  <c r="K37" i="17"/>
  <c r="K42" i="23"/>
  <c r="K38" i="23"/>
  <c r="K45" i="23"/>
  <c r="L45" i="23" s="1"/>
  <c r="Q45" i="23" s="1"/>
  <c r="Q43" i="23"/>
  <c r="N43" i="23"/>
  <c r="O43" i="23"/>
  <c r="O41" i="23"/>
  <c r="Q41" i="23"/>
  <c r="N41" i="23"/>
  <c r="M41" i="23"/>
  <c r="M43" i="23"/>
  <c r="K25" i="23"/>
  <c r="K24" i="23"/>
  <c r="L24" i="23" s="1"/>
  <c r="N24" i="23" s="1"/>
  <c r="K23" i="23"/>
  <c r="M12" i="23"/>
  <c r="L12" i="23"/>
  <c r="O12" i="23" s="1"/>
  <c r="E15" i="23"/>
  <c r="L36" i="23" s="1"/>
  <c r="N36" i="23" s="1"/>
  <c r="E16" i="23"/>
  <c r="L37" i="23" s="1"/>
  <c r="N37" i="23" s="1"/>
  <c r="M17" i="23"/>
  <c r="E22" i="23"/>
  <c r="K14" i="23"/>
  <c r="N13" i="23"/>
  <c r="O13" i="23"/>
  <c r="P13" i="23"/>
  <c r="Q13" i="23"/>
  <c r="M13" i="23"/>
  <c r="L30" i="23"/>
  <c r="N30" i="23" s="1"/>
  <c r="E14" i="23"/>
  <c r="E19" i="23"/>
  <c r="K36" i="23"/>
  <c r="M36" i="23" s="1"/>
  <c r="E18" i="23"/>
  <c r="F24" i="23"/>
  <c r="E23" i="23"/>
  <c r="O45" i="17"/>
  <c r="Q45" i="17"/>
  <c r="N45" i="17"/>
  <c r="N43" i="17"/>
  <c r="Q44" i="17"/>
  <c r="N44" i="17"/>
  <c r="N42" i="17"/>
  <c r="K25" i="17"/>
  <c r="K24" i="17"/>
  <c r="L24" i="17" s="1"/>
  <c r="N24" i="17" s="1"/>
  <c r="K12" i="17"/>
  <c r="L12" i="17" s="1"/>
  <c r="Q12" i="17" s="1"/>
  <c r="K23" i="17"/>
  <c r="P24" i="17"/>
  <c r="O24" i="17"/>
  <c r="Q24" i="17"/>
  <c r="K14" i="17"/>
  <c r="K13" i="17"/>
  <c r="L13" i="17" s="1"/>
  <c r="N13" i="17" s="1"/>
  <c r="M12" i="17"/>
  <c r="Q13" i="17"/>
  <c r="O12" i="17"/>
  <c r="K20" i="17"/>
  <c r="K21" i="17"/>
  <c r="E20" i="17"/>
  <c r="F16" i="17"/>
  <c r="K10" i="17"/>
  <c r="K18" i="17"/>
  <c r="K22" i="17"/>
  <c r="F19" i="17"/>
  <c r="M40" i="17" s="1"/>
  <c r="O40" i="17" s="1"/>
  <c r="Q40" i="17" s="1"/>
  <c r="E19" i="17"/>
  <c r="K11" i="17"/>
  <c r="K19" i="17"/>
  <c r="E20" i="23"/>
  <c r="E21" i="23"/>
  <c r="M30" i="23"/>
  <c r="L17" i="23"/>
  <c r="N17" i="23" s="1"/>
  <c r="F10" i="23"/>
  <c r="M10" i="23" s="1"/>
  <c r="K31" i="23"/>
  <c r="K18" i="23"/>
  <c r="E10" i="23"/>
  <c r="L10" i="23" s="1"/>
  <c r="N10" i="23" s="1"/>
  <c r="O10" i="23" s="1"/>
  <c r="K33" i="23"/>
  <c r="F12" i="23"/>
  <c r="K20" i="23"/>
  <c r="E12" i="23"/>
  <c r="M9" i="23"/>
  <c r="L9" i="23"/>
  <c r="F11" i="23"/>
  <c r="M11" i="23" s="1"/>
  <c r="K32" i="23"/>
  <c r="K19" i="23"/>
  <c r="E11" i="23"/>
  <c r="L11" i="23" s="1"/>
  <c r="F13" i="23"/>
  <c r="K34" i="23"/>
  <c r="K21" i="23"/>
  <c r="E13" i="23"/>
  <c r="K22" i="23"/>
  <c r="K35" i="23"/>
  <c r="F16" i="23"/>
  <c r="M37" i="23" s="1"/>
  <c r="F20" i="23"/>
  <c r="E17" i="17"/>
  <c r="F17" i="17"/>
  <c r="E18" i="17"/>
  <c r="O37" i="23" l="1"/>
  <c r="Q37" i="23" s="1"/>
  <c r="O13" i="17"/>
  <c r="O38" i="17"/>
  <c r="Q38" i="17" s="1"/>
  <c r="Q43" i="17"/>
  <c r="L42" i="23"/>
  <c r="M42" i="23"/>
  <c r="L39" i="17"/>
  <c r="N39" i="17" s="1"/>
  <c r="O39" i="17" s="1"/>
  <c r="Q39" i="17" s="1"/>
  <c r="M39" i="17"/>
  <c r="L38" i="23"/>
  <c r="M38" i="23"/>
  <c r="L37" i="17"/>
  <c r="N37" i="17" s="1"/>
  <c r="O37" i="17" s="1"/>
  <c r="Q37" i="17" s="1"/>
  <c r="M37" i="17"/>
  <c r="O24" i="23"/>
  <c r="L41" i="17"/>
  <c r="M41" i="17"/>
  <c r="N12" i="17"/>
  <c r="Q24" i="23"/>
  <c r="O45" i="23"/>
  <c r="L39" i="23"/>
  <c r="N39" i="23" s="1"/>
  <c r="L40" i="23"/>
  <c r="M40" i="23"/>
  <c r="L44" i="23"/>
  <c r="M44" i="23"/>
  <c r="M24" i="23"/>
  <c r="M45" i="23"/>
  <c r="P12" i="17"/>
  <c r="M24" i="17"/>
  <c r="P24" i="23"/>
  <c r="N45" i="23"/>
  <c r="O42" i="17"/>
  <c r="Q42" i="17"/>
  <c r="L23" i="23"/>
  <c r="N23" i="23" s="1"/>
  <c r="M39" i="23"/>
  <c r="M23" i="23"/>
  <c r="M25" i="23"/>
  <c r="L25" i="23"/>
  <c r="N11" i="23"/>
  <c r="O11" i="23" s="1"/>
  <c r="M14" i="23"/>
  <c r="L14" i="23"/>
  <c r="Q12" i="23"/>
  <c r="N12" i="23"/>
  <c r="P12" i="23"/>
  <c r="P10" i="23"/>
  <c r="Q10" i="23"/>
  <c r="M13" i="17"/>
  <c r="P13" i="17"/>
  <c r="M25" i="17"/>
  <c r="L25" i="17"/>
  <c r="M14" i="17"/>
  <c r="L14" i="17"/>
  <c r="O17" i="23"/>
  <c r="P17" i="23" s="1"/>
  <c r="M18" i="23"/>
  <c r="L18" i="23"/>
  <c r="O30" i="23"/>
  <c r="M21" i="23"/>
  <c r="L21" i="23"/>
  <c r="M19" i="23"/>
  <c r="L19" i="23"/>
  <c r="N9" i="23"/>
  <c r="O9" i="23" s="1"/>
  <c r="M31" i="23"/>
  <c r="L31" i="23"/>
  <c r="N31" i="23" s="1"/>
  <c r="M22" i="23"/>
  <c r="L22" i="23"/>
  <c r="L34" i="23"/>
  <c r="N34" i="23" s="1"/>
  <c r="M34" i="23"/>
  <c r="M32" i="23"/>
  <c r="L32" i="23"/>
  <c r="N32" i="23" s="1"/>
  <c r="L33" i="23"/>
  <c r="N33" i="23" s="1"/>
  <c r="M33" i="23"/>
  <c r="M20" i="23"/>
  <c r="L20" i="23"/>
  <c r="M35" i="23"/>
  <c r="L35" i="23"/>
  <c r="N35" i="23" s="1"/>
  <c r="R46" i="17"/>
  <c r="I10" i="17"/>
  <c r="I11" i="17"/>
  <c r="I12" i="17"/>
  <c r="I13" i="17"/>
  <c r="I14" i="17"/>
  <c r="I15" i="17"/>
  <c r="I21" i="17"/>
  <c r="I22" i="17"/>
  <c r="I23" i="17"/>
  <c r="I24" i="17"/>
  <c r="I9" i="17"/>
  <c r="N44" i="23" l="1"/>
  <c r="Q44" i="23"/>
  <c r="O44" i="23"/>
  <c r="N41" i="17"/>
  <c r="O41" i="17"/>
  <c r="Q41" i="17"/>
  <c r="N42" i="23"/>
  <c r="Q42" i="23"/>
  <c r="O42" i="23"/>
  <c r="N40" i="23"/>
  <c r="O40" i="23"/>
  <c r="Q40" i="23" s="1"/>
  <c r="O23" i="23"/>
  <c r="P23" i="23" s="1"/>
  <c r="O39" i="23"/>
  <c r="Q39" i="23" s="1"/>
  <c r="N38" i="23"/>
  <c r="O38" i="23" s="1"/>
  <c r="Q38" i="23" s="1"/>
  <c r="Q23" i="23"/>
  <c r="Q17" i="23"/>
  <c r="N25" i="23"/>
  <c r="Q25" i="23"/>
  <c r="P25" i="23"/>
  <c r="O25" i="23"/>
  <c r="P11" i="23"/>
  <c r="Q11" i="23"/>
  <c r="O14" i="23"/>
  <c r="P14" i="23"/>
  <c r="Q14" i="23"/>
  <c r="N14" i="23"/>
  <c r="Q25" i="17"/>
  <c r="O25" i="17"/>
  <c r="N25" i="17"/>
  <c r="P25" i="17"/>
  <c r="Q14" i="17"/>
  <c r="P14" i="17"/>
  <c r="O14" i="17"/>
  <c r="N14" i="17"/>
  <c r="U14" i="17" s="1"/>
  <c r="U12" i="17"/>
  <c r="U13" i="17"/>
  <c r="Q9" i="23"/>
  <c r="P9" i="23"/>
  <c r="O35" i="23"/>
  <c r="Q35" i="23" s="1"/>
  <c r="N18" i="23"/>
  <c r="O18" i="23" s="1"/>
  <c r="O34" i="23"/>
  <c r="Q34" i="23" s="1"/>
  <c r="O36" i="23"/>
  <c r="Q36" i="23" s="1"/>
  <c r="O31" i="23"/>
  <c r="N21" i="23"/>
  <c r="O32" i="23"/>
  <c r="Q32" i="23" s="1"/>
  <c r="N22" i="23"/>
  <c r="O22" i="23" s="1"/>
  <c r="N20" i="23"/>
  <c r="N19" i="23"/>
  <c r="Q30" i="23"/>
  <c r="U45" i="17"/>
  <c r="P22" i="23" l="1"/>
  <c r="Q22" i="23"/>
  <c r="Q15" i="23"/>
  <c r="O15" i="23"/>
  <c r="O19" i="23"/>
  <c r="Q31" i="23"/>
  <c r="P18" i="23"/>
  <c r="P15" i="23"/>
  <c r="O20" i="23"/>
  <c r="O33" i="23"/>
  <c r="Q33" i="23" s="1"/>
  <c r="Q18" i="23"/>
  <c r="O21" i="23"/>
  <c r="S15" i="23" l="1"/>
  <c r="Q46" i="23"/>
  <c r="R15" i="23"/>
  <c r="S48" i="23" s="1"/>
  <c r="Q19" i="23"/>
  <c r="P19" i="23"/>
  <c r="Q21" i="23"/>
  <c r="P21" i="23"/>
  <c r="P20" i="23"/>
  <c r="Q20" i="23"/>
  <c r="O26" i="23"/>
  <c r="O46" i="23"/>
  <c r="Q26" i="23" l="1"/>
  <c r="S26" i="23" s="1"/>
  <c r="S46" i="23"/>
  <c r="S50" i="23" s="1"/>
  <c r="P26" i="23"/>
  <c r="R26" i="23" s="1"/>
  <c r="S49" i="23" l="1"/>
  <c r="E9" i="17"/>
  <c r="F9" i="17"/>
  <c r="E10" i="17"/>
  <c r="F10" i="17"/>
  <c r="E11" i="17"/>
  <c r="F11" i="17"/>
  <c r="E12" i="17"/>
  <c r="F12" i="17"/>
  <c r="E13" i="17"/>
  <c r="F13" i="17"/>
  <c r="E14" i="17"/>
  <c r="F14" i="17"/>
  <c r="E15" i="17"/>
  <c r="F15" i="17"/>
  <c r="E21" i="17"/>
  <c r="F21" i="17"/>
  <c r="E22" i="17"/>
  <c r="F22" i="17"/>
  <c r="E23" i="17"/>
  <c r="F23" i="17"/>
  <c r="E24" i="17"/>
  <c r="F24" i="17"/>
  <c r="U39" i="17" l="1"/>
  <c r="U37" i="17"/>
  <c r="M23" i="17"/>
  <c r="L23" i="17"/>
  <c r="U38" i="17"/>
  <c r="M19" i="17"/>
  <c r="L19" i="17"/>
  <c r="N19" i="17" s="1"/>
  <c r="M20" i="17"/>
  <c r="M35" i="17"/>
  <c r="M17" i="17"/>
  <c r="M33" i="17"/>
  <c r="M21" i="17"/>
  <c r="L20" i="17"/>
  <c r="L35" i="17"/>
  <c r="L17" i="17"/>
  <c r="L21" i="17"/>
  <c r="L33" i="17"/>
  <c r="L10" i="17"/>
  <c r="L31" i="17"/>
  <c r="M36" i="17"/>
  <c r="M18" i="17"/>
  <c r="M22" i="17"/>
  <c r="M34" i="17"/>
  <c r="M32" i="17"/>
  <c r="M11" i="17"/>
  <c r="M9" i="17"/>
  <c r="M30" i="17"/>
  <c r="M31" i="17"/>
  <c r="M10" i="17"/>
  <c r="L36" i="17"/>
  <c r="L18" i="17"/>
  <c r="L34" i="17"/>
  <c r="L22" i="17"/>
  <c r="L32" i="17"/>
  <c r="L11" i="17"/>
  <c r="L9" i="17"/>
  <c r="L30" i="17"/>
  <c r="U40" i="17" l="1"/>
  <c r="N23" i="17"/>
  <c r="U23" i="17" s="1"/>
  <c r="O19" i="17"/>
  <c r="Q19" i="17" s="1"/>
  <c r="U19" i="17"/>
  <c r="U42" i="17"/>
  <c r="U44" i="17"/>
  <c r="U41" i="17"/>
  <c r="U43" i="17"/>
  <c r="N21" i="17"/>
  <c r="N22" i="17"/>
  <c r="U22" i="17" s="1"/>
  <c r="N11" i="17"/>
  <c r="N33" i="17"/>
  <c r="N35" i="17"/>
  <c r="N32" i="17"/>
  <c r="N36" i="17"/>
  <c r="N20" i="17"/>
  <c r="N31" i="17"/>
  <c r="N17" i="17"/>
  <c r="N18" i="17"/>
  <c r="N30" i="17"/>
  <c r="N9" i="17"/>
  <c r="N34" i="17"/>
  <c r="N10" i="17"/>
  <c r="O23" i="17" l="1"/>
  <c r="O34" i="17"/>
  <c r="Q34" i="17" s="1"/>
  <c r="U34" i="17"/>
  <c r="O18" i="17"/>
  <c r="Q18" i="17" s="1"/>
  <c r="U18" i="17"/>
  <c r="O36" i="17"/>
  <c r="Q36" i="17" s="1"/>
  <c r="U36" i="17"/>
  <c r="O11" i="17"/>
  <c r="P11" i="17" s="1"/>
  <c r="U11" i="17"/>
  <c r="O9" i="17"/>
  <c r="P9" i="17" s="1"/>
  <c r="U9" i="17"/>
  <c r="O17" i="17"/>
  <c r="U17" i="17"/>
  <c r="O32" i="17"/>
  <c r="Q32" i="17" s="1"/>
  <c r="U32" i="17"/>
  <c r="O21" i="17"/>
  <c r="U21" i="17"/>
  <c r="O22" i="17"/>
  <c r="P22" i="17" s="1"/>
  <c r="O31" i="17"/>
  <c r="Q31" i="17" s="1"/>
  <c r="U31" i="17"/>
  <c r="O35" i="17"/>
  <c r="Q35" i="17" s="1"/>
  <c r="U35" i="17"/>
  <c r="U24" i="17"/>
  <c r="O10" i="17"/>
  <c r="P10" i="17" s="1"/>
  <c r="U10" i="17"/>
  <c r="O30" i="17"/>
  <c r="Q30" i="17" s="1"/>
  <c r="U30" i="17"/>
  <c r="O20" i="17"/>
  <c r="P20" i="17" s="1"/>
  <c r="U20" i="17"/>
  <c r="O33" i="17"/>
  <c r="Q33" i="17" s="1"/>
  <c r="U33" i="17"/>
  <c r="U25" i="17"/>
  <c r="P19" i="17"/>
  <c r="P21" i="17"/>
  <c r="Q21" i="17"/>
  <c r="Q11" i="17"/>
  <c r="Q17" i="17"/>
  <c r="P17" i="17"/>
  <c r="P18" i="17" l="1"/>
  <c r="Q20" i="17"/>
  <c r="Q23" i="17"/>
  <c r="P23" i="17"/>
  <c r="P26" i="17" s="1"/>
  <c r="Q46" i="17"/>
  <c r="Q9" i="17"/>
  <c r="Q22" i="17"/>
  <c r="Q26" i="17" s="1"/>
  <c r="O15" i="17"/>
  <c r="Q10" i="17"/>
  <c r="O46" i="17"/>
  <c r="O26" i="17"/>
  <c r="P15" i="17"/>
  <c r="R15" i="17" l="1"/>
  <c r="S48" i="17" s="1"/>
  <c r="Q15" i="17"/>
  <c r="S15" i="17" s="1"/>
  <c r="S46" i="17"/>
  <c r="S50" i="17" s="1"/>
  <c r="R26" i="17"/>
  <c r="S26" i="17"/>
  <c r="S49" i="17" l="1"/>
</calcChain>
</file>

<file path=xl/sharedStrings.xml><?xml version="1.0" encoding="utf-8"?>
<sst xmlns="http://schemas.openxmlformats.org/spreadsheetml/2006/main" count="208" uniqueCount="86">
  <si>
    <r>
      <rPr>
        <sz val="10"/>
        <color theme="1"/>
        <rFont val="ＭＳ 明朝"/>
        <family val="1"/>
        <charset val="128"/>
      </rPr>
      <t>報告書番号：</t>
    </r>
    <rPh sb="0" eb="3">
      <t>ホウコクショ</t>
    </rPh>
    <rPh sb="3" eb="5">
      <t>バンゴウ</t>
    </rPh>
    <phoneticPr fontId="2"/>
  </si>
  <si>
    <t>i</t>
    <phoneticPr fontId="2"/>
  </si>
  <si>
    <r>
      <t>d</t>
    </r>
    <r>
      <rPr>
        <i/>
        <vertAlign val="subscript"/>
        <sz val="10"/>
        <color theme="1"/>
        <rFont val="Times New Roman"/>
        <family val="1"/>
      </rPr>
      <t>i</t>
    </r>
    <r>
      <rPr>
        <i/>
        <vertAlign val="subscript"/>
        <sz val="10"/>
        <color theme="1"/>
        <rFont val="ＭＳ 明朝"/>
        <family val="1"/>
        <charset val="128"/>
      </rPr>
      <t>　</t>
    </r>
    <rPh sb="0" eb="1">
      <t>＿</t>
    </rPh>
    <phoneticPr fontId="2" alignment="distributed"/>
  </si>
  <si>
    <r>
      <t>d</t>
    </r>
    <r>
      <rPr>
        <i/>
        <vertAlign val="subscript"/>
        <sz val="10"/>
        <color theme="1"/>
        <rFont val="Times New Roman"/>
        <family val="1"/>
      </rPr>
      <t>i</t>
    </r>
    <phoneticPr fontId="2"/>
  </si>
  <si>
    <r>
      <t>Δln</t>
    </r>
    <r>
      <rPr>
        <i/>
        <sz val="10"/>
        <color theme="1"/>
        <rFont val="Times New Roman"/>
        <family val="1"/>
      </rPr>
      <t>d</t>
    </r>
    <r>
      <rPr>
        <i/>
        <vertAlign val="subscript"/>
        <sz val="10"/>
        <color theme="1"/>
        <rFont val="Times New Roman"/>
        <family val="1"/>
      </rPr>
      <t>i</t>
    </r>
    <phoneticPr fontId="2"/>
  </si>
  <si>
    <r>
      <t>E</t>
    </r>
    <r>
      <rPr>
        <i/>
        <vertAlign val="subscript"/>
        <sz val="10"/>
        <color theme="1"/>
        <rFont val="Times New Roman"/>
        <family val="1"/>
      </rPr>
      <t>i</t>
    </r>
    <phoneticPr fontId="2"/>
  </si>
  <si>
    <t>y</t>
    <phoneticPr fontId="2"/>
  </si>
  <si>
    <t>A</t>
    <phoneticPr fontId="2"/>
  </si>
  <si>
    <r>
      <t>d</t>
    </r>
    <r>
      <rPr>
        <i/>
        <vertAlign val="subscript"/>
        <sz val="10"/>
        <rFont val="Times New Roman"/>
        <family val="1"/>
      </rPr>
      <t>i</t>
    </r>
    <r>
      <rPr>
        <i/>
        <vertAlign val="subscript"/>
        <sz val="10"/>
        <rFont val="ＭＳ 明朝"/>
        <family val="1"/>
        <charset val="128"/>
      </rPr>
      <t>　</t>
    </r>
    <rPh sb="0" eb="1">
      <t>＿</t>
    </rPh>
    <phoneticPr fontId="2" alignment="distributed"/>
  </si>
  <si>
    <r>
      <t>Δln</t>
    </r>
    <r>
      <rPr>
        <i/>
        <sz val="10"/>
        <rFont val="Times New Roman"/>
        <family val="1"/>
      </rPr>
      <t>d</t>
    </r>
    <r>
      <rPr>
        <i/>
        <vertAlign val="subscript"/>
        <sz val="10"/>
        <rFont val="Times New Roman"/>
        <family val="1"/>
      </rPr>
      <t>i</t>
    </r>
    <phoneticPr fontId="2"/>
  </si>
  <si>
    <r>
      <t>×Δln</t>
    </r>
    <r>
      <rPr>
        <i/>
        <sz val="10"/>
        <rFont val="Times New Roman"/>
        <family val="1"/>
      </rPr>
      <t>d</t>
    </r>
    <r>
      <rPr>
        <i/>
        <vertAlign val="subscript"/>
        <sz val="10"/>
        <rFont val="Times New Roman"/>
        <family val="1"/>
      </rPr>
      <t>i</t>
    </r>
    <phoneticPr fontId="2"/>
  </si>
  <si>
    <r>
      <rPr>
        <sz val="10"/>
        <rFont val="ＭＳ 明朝"/>
        <family val="1"/>
        <charset val="128"/>
      </rPr>
      <t>試験機関：</t>
    </r>
    <rPh sb="0" eb="2">
      <t>シケン</t>
    </rPh>
    <rPh sb="2" eb="4">
      <t>キカン</t>
    </rPh>
    <phoneticPr fontId="2"/>
  </si>
  <si>
    <r>
      <rPr>
        <sz val="10"/>
        <rFont val="ＭＳ 明朝"/>
        <family val="1"/>
        <charset val="128"/>
      </rPr>
      <t>報告書番号：</t>
    </r>
    <rPh sb="0" eb="3">
      <t>ホウコクショ</t>
    </rPh>
    <rPh sb="3" eb="5">
      <t>バンゴウ</t>
    </rPh>
    <phoneticPr fontId="2"/>
  </si>
  <si>
    <r>
      <rPr>
        <sz val="10"/>
        <rFont val="ＭＳ 明朝"/>
        <family val="1"/>
        <charset val="128"/>
      </rPr>
      <t>報告書発行日：</t>
    </r>
    <rPh sb="0" eb="3">
      <t>ホウコクショ</t>
    </rPh>
    <rPh sb="3" eb="6">
      <t>ハッコウビ</t>
    </rPh>
    <phoneticPr fontId="2"/>
  </si>
  <si>
    <r>
      <rPr>
        <sz val="10"/>
        <rFont val="ＭＳ 明朝"/>
        <family val="1"/>
        <charset val="128"/>
      </rPr>
      <t>名称：</t>
    </r>
    <rPh sb="0" eb="2">
      <t>メイショウ</t>
    </rPh>
    <phoneticPr fontId="2"/>
  </si>
  <si>
    <r>
      <rPr>
        <sz val="10"/>
        <rFont val="ＭＳ 明朝"/>
        <family val="1"/>
        <charset val="128"/>
      </rPr>
      <t>試験日：</t>
    </r>
    <rPh sb="0" eb="3">
      <t>シケンビ</t>
    </rPh>
    <phoneticPr fontId="2"/>
  </si>
  <si>
    <r>
      <rPr>
        <sz val="10"/>
        <rFont val="ＭＳ 明朝"/>
        <family val="1"/>
        <charset val="128"/>
      </rPr>
      <t>試験風量：</t>
    </r>
    <rPh sb="0" eb="2">
      <t>シケン</t>
    </rPh>
    <rPh sb="2" eb="4">
      <t>フウリョウ</t>
    </rPh>
    <phoneticPr fontId="2"/>
  </si>
  <si>
    <r>
      <t>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/min</t>
    </r>
    <phoneticPr fontId="2"/>
  </si>
  <si>
    <t>型式：</t>
    <rPh sb="0" eb="2">
      <t>カタシキ</t>
    </rPh>
    <phoneticPr fontId="2"/>
  </si>
  <si>
    <r>
      <t xml:space="preserve">JIS B 9908-1 - </t>
    </r>
    <r>
      <rPr>
        <b/>
        <sz val="12"/>
        <rFont val="ＭＳ 明朝"/>
        <family val="1"/>
        <charset val="128"/>
      </rPr>
      <t>粒径別捕集率値詳細</t>
    </r>
    <rPh sb="15" eb="18">
      <t>リュウケイベツ</t>
    </rPh>
    <rPh sb="18" eb="21">
      <t>ホシュウリツ</t>
    </rPh>
    <rPh sb="21" eb="22">
      <t>チ</t>
    </rPh>
    <rPh sb="22" eb="24">
      <t>ショウサイ</t>
    </rPh>
    <phoneticPr fontId="2"/>
  </si>
  <si>
    <r>
      <t>d</t>
    </r>
    <r>
      <rPr>
        <i/>
        <vertAlign val="subscript"/>
        <sz val="10"/>
        <color theme="1"/>
        <rFont val="Times New Roman"/>
        <family val="1"/>
      </rPr>
      <t>i</t>
    </r>
    <r>
      <rPr>
        <vertAlign val="subscript"/>
        <sz val="10"/>
        <color theme="1"/>
        <rFont val="Times New Roman"/>
        <family val="1"/>
      </rPr>
      <t>+1</t>
    </r>
    <phoneticPr fontId="2"/>
  </si>
  <si>
    <r>
      <t>E</t>
    </r>
    <r>
      <rPr>
        <vertAlign val="subscript"/>
        <sz val="10"/>
        <color theme="1"/>
        <rFont val="Times New Roman"/>
        <family val="1"/>
      </rPr>
      <t>D,</t>
    </r>
    <r>
      <rPr>
        <i/>
        <vertAlign val="subscript"/>
        <sz val="10"/>
        <color theme="1"/>
        <rFont val="Times New Roman"/>
        <family val="1"/>
      </rPr>
      <t>i</t>
    </r>
    <phoneticPr fontId="2"/>
  </si>
  <si>
    <r>
      <t>E</t>
    </r>
    <r>
      <rPr>
        <vertAlign val="subscript"/>
        <sz val="10"/>
        <color theme="1"/>
        <rFont val="Times New Roman"/>
        <family val="1"/>
      </rPr>
      <t>A,</t>
    </r>
    <r>
      <rPr>
        <i/>
        <vertAlign val="subscript"/>
        <sz val="10"/>
        <color theme="1"/>
        <rFont val="Times New Roman"/>
        <family val="1"/>
      </rPr>
      <t>i</t>
    </r>
    <phoneticPr fontId="2"/>
  </si>
  <si>
    <r>
      <t>d</t>
    </r>
    <r>
      <rPr>
        <i/>
        <vertAlign val="subscript"/>
        <sz val="10"/>
        <color theme="1"/>
        <rFont val="Times New Roman"/>
        <family val="1"/>
      </rPr>
      <t>i</t>
    </r>
    <r>
      <rPr>
        <vertAlign val="subscript"/>
        <sz val="10"/>
        <color theme="1"/>
        <rFont val="Times New Roman"/>
        <family val="1"/>
      </rPr>
      <t>+1</t>
    </r>
    <phoneticPr fontId="2"/>
  </si>
  <si>
    <r>
      <t>E</t>
    </r>
    <r>
      <rPr>
        <vertAlign val="subscript"/>
        <sz val="10"/>
        <color theme="1"/>
        <rFont val="Times New Roman"/>
        <family val="1"/>
      </rPr>
      <t>D,</t>
    </r>
    <r>
      <rPr>
        <i/>
        <vertAlign val="subscript"/>
        <sz val="10"/>
        <color theme="1"/>
        <rFont val="Times New Roman"/>
        <family val="1"/>
      </rPr>
      <t>i</t>
    </r>
    <phoneticPr fontId="2"/>
  </si>
  <si>
    <r>
      <t>E</t>
    </r>
    <r>
      <rPr>
        <vertAlign val="subscript"/>
        <sz val="10"/>
        <color theme="1"/>
        <rFont val="Times New Roman"/>
        <family val="1"/>
      </rPr>
      <t>A,</t>
    </r>
    <r>
      <rPr>
        <i/>
        <vertAlign val="subscript"/>
        <sz val="10"/>
        <color theme="1"/>
        <rFont val="Times New Roman"/>
        <family val="1"/>
      </rPr>
      <t>i</t>
    </r>
    <phoneticPr fontId="2"/>
  </si>
  <si>
    <r>
      <t>q</t>
    </r>
    <r>
      <rPr>
        <vertAlign val="subscript"/>
        <sz val="10"/>
        <rFont val="Times New Roman"/>
        <family val="1"/>
      </rPr>
      <t>3</t>
    </r>
    <r>
      <rPr>
        <i/>
        <sz val="10"/>
        <rFont val="Times New Roman"/>
        <family val="1"/>
      </rPr>
      <t>(d</t>
    </r>
    <r>
      <rPr>
        <i/>
        <vertAlign val="subscript"/>
        <sz val="10"/>
        <rFont val="Times New Roman"/>
        <family val="1"/>
      </rPr>
      <t>i</t>
    </r>
    <r>
      <rPr>
        <i/>
        <sz val="10"/>
        <rFont val="Times New Roman"/>
        <family val="1"/>
      </rPr>
      <t>)</t>
    </r>
    <rPh sb="3" eb="4">
      <t>＿</t>
    </rPh>
    <phoneticPr fontId="2" alignment="distributed"/>
  </si>
  <si>
    <r>
      <t>E</t>
    </r>
    <r>
      <rPr>
        <vertAlign val="subscript"/>
        <sz val="10"/>
        <rFont val="Times New Roman"/>
        <family val="1"/>
      </rPr>
      <t>D</t>
    </r>
    <r>
      <rPr>
        <i/>
        <vertAlign val="subscript"/>
        <sz val="10"/>
        <rFont val="Times New Roman"/>
        <family val="1"/>
      </rPr>
      <t>,i</t>
    </r>
    <r>
      <rPr>
        <sz val="10"/>
        <rFont val="Times New Roman"/>
        <family val="1"/>
      </rPr>
      <t>×</t>
    </r>
    <r>
      <rPr>
        <i/>
        <sz val="10"/>
        <rFont val="Times New Roman"/>
        <family val="1"/>
      </rPr>
      <t>q</t>
    </r>
    <r>
      <rPr>
        <vertAlign val="subscript"/>
        <sz val="10"/>
        <rFont val="Times New Roman"/>
        <family val="1"/>
      </rPr>
      <t>3</t>
    </r>
    <r>
      <rPr>
        <i/>
        <sz val="10"/>
        <rFont val="Times New Roman"/>
        <family val="1"/>
      </rPr>
      <t>(d</t>
    </r>
    <r>
      <rPr>
        <i/>
        <vertAlign val="subscript"/>
        <sz val="10"/>
        <rFont val="Times New Roman"/>
        <family val="1"/>
      </rPr>
      <t>i</t>
    </r>
    <r>
      <rPr>
        <i/>
        <sz val="10"/>
        <rFont val="Times New Roman"/>
        <family val="1"/>
      </rPr>
      <t>)</t>
    </r>
    <rPh sb="8" eb="9">
      <t>＿</t>
    </rPh>
    <phoneticPr fontId="2" alignment="distributed"/>
  </si>
  <si>
    <r>
      <t>E</t>
    </r>
    <r>
      <rPr>
        <vertAlign val="subscript"/>
        <sz val="10"/>
        <rFont val="Times New Roman"/>
        <family val="1"/>
      </rPr>
      <t>A,</t>
    </r>
    <r>
      <rPr>
        <i/>
        <vertAlign val="subscript"/>
        <sz val="10"/>
        <rFont val="Times New Roman"/>
        <family val="1"/>
      </rPr>
      <t>i</t>
    </r>
    <r>
      <rPr>
        <sz val="10"/>
        <rFont val="Times New Roman"/>
        <family val="1"/>
      </rPr>
      <t>×</t>
    </r>
    <r>
      <rPr>
        <i/>
        <sz val="10"/>
        <rFont val="Times New Roman"/>
        <family val="1"/>
      </rPr>
      <t>q</t>
    </r>
    <r>
      <rPr>
        <vertAlign val="subscript"/>
        <sz val="10"/>
        <rFont val="Times New Roman"/>
        <family val="1"/>
      </rPr>
      <t>3</t>
    </r>
    <r>
      <rPr>
        <i/>
        <sz val="10"/>
        <rFont val="Times New Roman"/>
        <family val="1"/>
      </rPr>
      <t>(d</t>
    </r>
    <r>
      <rPr>
        <i/>
        <vertAlign val="subscript"/>
        <sz val="10"/>
        <rFont val="Times New Roman"/>
        <family val="1"/>
      </rPr>
      <t>i</t>
    </r>
    <r>
      <rPr>
        <i/>
        <sz val="10"/>
        <rFont val="Times New Roman"/>
        <family val="1"/>
      </rPr>
      <t>)</t>
    </r>
    <rPh sb="8" eb="9">
      <t>＿</t>
    </rPh>
    <phoneticPr fontId="2" alignment="distributed"/>
  </si>
  <si>
    <t>製造業者：</t>
    <rPh sb="0" eb="3">
      <t>セイゾウギョウ</t>
    </rPh>
    <rPh sb="3" eb="4">
      <t>シャ</t>
    </rPh>
    <phoneticPr fontId="2"/>
  </si>
  <si>
    <t>(μm)</t>
    <phoneticPr fontId="2"/>
  </si>
  <si>
    <t>(-)</t>
    <phoneticPr fontId="2"/>
  </si>
  <si>
    <t>(%)</t>
    <phoneticPr fontId="2"/>
  </si>
  <si>
    <t>(%)</t>
    <phoneticPr fontId="2"/>
  </si>
  <si>
    <t>(%)</t>
    <phoneticPr fontId="2"/>
  </si>
  <si>
    <r>
      <t xml:space="preserve">Δln </t>
    </r>
    <r>
      <rPr>
        <i/>
        <sz val="10"/>
        <rFont val="Times New Roman"/>
        <family val="1"/>
      </rPr>
      <t>d</t>
    </r>
    <r>
      <rPr>
        <i/>
        <vertAlign val="subscript"/>
        <sz val="10"/>
        <rFont val="Times New Roman"/>
        <family val="1"/>
      </rPr>
      <t>i</t>
    </r>
    <r>
      <rPr>
        <sz val="10"/>
        <rFont val="Times New Roman"/>
        <family val="1"/>
      </rPr>
      <t xml:space="preserve"> = ln</t>
    </r>
    <r>
      <rPr>
        <sz val="10"/>
        <rFont val="ＭＳ 明朝"/>
        <family val="1"/>
        <charset val="128"/>
      </rPr>
      <t>（</t>
    </r>
    <r>
      <rPr>
        <i/>
        <sz val="10"/>
        <rFont val="Times New Roman"/>
        <family val="1"/>
      </rPr>
      <t>d</t>
    </r>
    <r>
      <rPr>
        <i/>
        <vertAlign val="subscript"/>
        <sz val="10"/>
        <rFont val="Times New Roman"/>
        <family val="1"/>
      </rPr>
      <t>i</t>
    </r>
    <r>
      <rPr>
        <vertAlign val="subscript"/>
        <sz val="10"/>
        <rFont val="Times New Roman"/>
        <family val="1"/>
      </rPr>
      <t>+1</t>
    </r>
    <r>
      <rPr>
        <sz val="10"/>
        <rFont val="Times New Roman"/>
        <family val="1"/>
      </rPr>
      <t>/</t>
    </r>
    <r>
      <rPr>
        <i/>
        <sz val="10"/>
        <rFont val="Times New Roman"/>
        <family val="1"/>
      </rPr>
      <t>d</t>
    </r>
    <r>
      <rPr>
        <i/>
        <vertAlign val="subscript"/>
        <sz val="10"/>
        <rFont val="Times New Roman"/>
        <family val="1"/>
      </rPr>
      <t>i</t>
    </r>
    <r>
      <rPr>
        <sz val="10"/>
        <rFont val="ＭＳ 明朝"/>
        <family val="1"/>
        <charset val="128"/>
      </rPr>
      <t>）</t>
    </r>
    <phoneticPr fontId="2"/>
  </si>
  <si>
    <t>(μm)</t>
    <phoneticPr fontId="2"/>
  </si>
  <si>
    <r>
      <t>×Δln</t>
    </r>
    <r>
      <rPr>
        <i/>
        <sz val="10"/>
        <rFont val="Times New Roman"/>
        <family val="1"/>
      </rPr>
      <t>d</t>
    </r>
    <r>
      <rPr>
        <i/>
        <vertAlign val="subscript"/>
        <sz val="10"/>
        <rFont val="Times New Roman"/>
        <family val="1"/>
      </rPr>
      <t>i</t>
    </r>
    <phoneticPr fontId="2"/>
  </si>
  <si>
    <r>
      <t>Δln</t>
    </r>
    <r>
      <rPr>
        <i/>
        <sz val="10"/>
        <rFont val="Times New Roman"/>
        <family val="1"/>
      </rPr>
      <t>d</t>
    </r>
    <r>
      <rPr>
        <i/>
        <vertAlign val="subscript"/>
        <sz val="10"/>
        <rFont val="Times New Roman"/>
        <family val="1"/>
      </rPr>
      <t>i</t>
    </r>
    <phoneticPr fontId="2"/>
  </si>
  <si>
    <t>(μm)</t>
    <phoneticPr fontId="2"/>
  </si>
  <si>
    <t>(-)</t>
    <phoneticPr fontId="2"/>
  </si>
  <si>
    <r>
      <rPr>
        <i/>
        <sz val="10"/>
        <rFont val="Times New Roman"/>
        <family val="1"/>
      </rPr>
      <t>e</t>
    </r>
    <r>
      <rPr>
        <sz val="10"/>
        <rFont val="Times New Roman"/>
        <family val="1"/>
      </rPr>
      <t>PM</t>
    </r>
    <r>
      <rPr>
        <vertAlign val="subscript"/>
        <sz val="10"/>
        <rFont val="Times New Roman"/>
        <family val="1"/>
      </rPr>
      <t>1</t>
    </r>
    <phoneticPr fontId="2"/>
  </si>
  <si>
    <r>
      <rPr>
        <i/>
        <sz val="10"/>
        <rFont val="Times New Roman"/>
        <family val="1"/>
      </rPr>
      <t>e</t>
    </r>
    <r>
      <rPr>
        <sz val="10"/>
        <rFont val="Times New Roman"/>
        <family val="1"/>
      </rPr>
      <t>PM</t>
    </r>
    <r>
      <rPr>
        <vertAlign val="subscript"/>
        <sz val="10"/>
        <rFont val="Times New Roman"/>
        <family val="1"/>
      </rPr>
      <t>2.5</t>
    </r>
    <phoneticPr fontId="2"/>
  </si>
  <si>
    <r>
      <rPr>
        <i/>
        <sz val="10"/>
        <rFont val="Times New Roman"/>
        <family val="1"/>
      </rPr>
      <t>e</t>
    </r>
    <r>
      <rPr>
        <sz val="10"/>
        <rFont val="Times New Roman"/>
        <family val="1"/>
      </rPr>
      <t>PM</t>
    </r>
    <r>
      <rPr>
        <vertAlign val="subscript"/>
        <sz val="10"/>
        <rFont val="Times New Roman"/>
        <family val="1"/>
      </rPr>
      <t>10</t>
    </r>
    <phoneticPr fontId="2"/>
  </si>
  <si>
    <r>
      <rPr>
        <i/>
        <sz val="10"/>
        <rFont val="Times New Roman"/>
        <family val="1"/>
      </rPr>
      <t>e</t>
    </r>
    <r>
      <rPr>
        <sz val="10"/>
        <rFont val="Times New Roman"/>
        <family val="1"/>
      </rPr>
      <t>PM</t>
    </r>
    <r>
      <rPr>
        <i/>
        <vertAlign val="subscript"/>
        <sz val="10"/>
        <rFont val="Times New Roman"/>
        <family val="1"/>
      </rPr>
      <t>x</t>
    </r>
    <phoneticPr fontId="2"/>
  </si>
  <si>
    <r>
      <rPr>
        <i/>
        <sz val="10"/>
        <rFont val="Times New Roman"/>
        <family val="1"/>
      </rPr>
      <t>e</t>
    </r>
    <r>
      <rPr>
        <sz val="10"/>
        <rFont val="Times New Roman"/>
        <family val="1"/>
      </rPr>
      <t>PM</t>
    </r>
    <r>
      <rPr>
        <vertAlign val="subscript"/>
        <sz val="10"/>
        <rFont val="Times New Roman"/>
        <family val="1"/>
      </rPr>
      <t>x</t>
    </r>
    <phoneticPr fontId="2"/>
  </si>
  <si>
    <r>
      <rPr>
        <sz val="10"/>
        <rFont val="ＭＳ Ｐ明朝"/>
        <family val="1"/>
        <charset val="128"/>
      </rPr>
      <t>粒径レンジ</t>
    </r>
    <r>
      <rPr>
        <i/>
        <sz val="10"/>
        <rFont val="Times New Roman"/>
        <family val="1"/>
      </rPr>
      <t>i</t>
    </r>
    <r>
      <rPr>
        <sz val="10"/>
        <rFont val="ＭＳ Ｐ明朝"/>
        <family val="1"/>
        <charset val="128"/>
      </rPr>
      <t>の最小粒径</t>
    </r>
    <r>
      <rPr>
        <sz val="10"/>
        <rFont val="Times New Roman"/>
        <family val="1"/>
      </rPr>
      <t xml:space="preserve"> (μm)</t>
    </r>
    <phoneticPr fontId="2"/>
  </si>
  <si>
    <r>
      <rPr>
        <sz val="10"/>
        <rFont val="ＭＳ Ｐ明朝"/>
        <family val="1"/>
        <charset val="128"/>
      </rPr>
      <t>粒径レンジ</t>
    </r>
    <r>
      <rPr>
        <i/>
        <sz val="10"/>
        <rFont val="Times New Roman"/>
        <family val="1"/>
      </rPr>
      <t>i</t>
    </r>
    <r>
      <rPr>
        <sz val="10"/>
        <rFont val="ＭＳ Ｐ明朝"/>
        <family val="1"/>
        <charset val="128"/>
      </rPr>
      <t>の最大粒径</t>
    </r>
    <r>
      <rPr>
        <sz val="10"/>
        <rFont val="Times New Roman"/>
        <family val="1"/>
      </rPr>
      <t xml:space="preserve"> (μm)</t>
    </r>
    <phoneticPr fontId="2"/>
  </si>
  <si>
    <r>
      <rPr>
        <sz val="10"/>
        <rFont val="ＭＳ Ｐ明朝"/>
        <family val="1"/>
        <charset val="128"/>
      </rPr>
      <t>粒径レンジ</t>
    </r>
    <r>
      <rPr>
        <i/>
        <sz val="10"/>
        <rFont val="Times New Roman"/>
        <family val="1"/>
      </rPr>
      <t>i</t>
    </r>
    <r>
      <rPr>
        <sz val="10"/>
        <rFont val="ＭＳ Ｐ明朝"/>
        <family val="1"/>
        <charset val="128"/>
      </rPr>
      <t>の幾何平均粒径</t>
    </r>
    <r>
      <rPr>
        <sz val="10"/>
        <rFont val="Times New Roman"/>
        <family val="1"/>
      </rPr>
      <t xml:space="preserve"> (μm)</t>
    </r>
    <phoneticPr fontId="2"/>
  </si>
  <si>
    <r>
      <rPr>
        <sz val="10"/>
        <rFont val="ＭＳ Ｐ明朝"/>
        <family val="1"/>
        <charset val="128"/>
      </rPr>
      <t>粒径レンジ</t>
    </r>
    <r>
      <rPr>
        <i/>
        <sz val="10"/>
        <rFont val="Times New Roman"/>
        <family val="1"/>
      </rPr>
      <t>i</t>
    </r>
    <r>
      <rPr>
        <sz val="10"/>
        <rFont val="ＭＳ Ｐ明朝"/>
        <family val="1"/>
        <charset val="128"/>
      </rPr>
      <t>の粒径幅の自然対数値</t>
    </r>
    <r>
      <rPr>
        <sz val="10"/>
        <rFont val="Times New Roman"/>
        <family val="1"/>
      </rPr>
      <t xml:space="preserve"> (-)</t>
    </r>
    <phoneticPr fontId="2"/>
  </si>
  <si>
    <r>
      <rPr>
        <sz val="10"/>
        <rFont val="ＭＳ Ｐ明朝"/>
        <family val="1"/>
        <charset val="128"/>
      </rPr>
      <t>粒径レンジ</t>
    </r>
    <r>
      <rPr>
        <i/>
        <sz val="10"/>
        <rFont val="Times New Roman"/>
        <family val="1"/>
      </rPr>
      <t>i</t>
    </r>
    <r>
      <rPr>
        <sz val="10"/>
        <rFont val="ＭＳ Ｐ明朝"/>
        <family val="1"/>
        <charset val="128"/>
      </rPr>
      <t>での初期粒径別捕集率（部分捕集率）</t>
    </r>
    <r>
      <rPr>
        <sz val="10"/>
        <rFont val="Times New Roman"/>
        <family val="1"/>
      </rPr>
      <t xml:space="preserve"> (</t>
    </r>
    <r>
      <rPr>
        <sz val="10"/>
        <rFont val="ＭＳ Ｐ明朝"/>
        <family val="1"/>
        <charset val="128"/>
      </rPr>
      <t>％</t>
    </r>
    <r>
      <rPr>
        <sz val="10"/>
        <rFont val="Times New Roman"/>
        <family val="1"/>
      </rPr>
      <t>)</t>
    </r>
    <phoneticPr fontId="2"/>
  </si>
  <si>
    <r>
      <rPr>
        <sz val="10"/>
        <rFont val="ＭＳ Ｐ明朝"/>
        <family val="1"/>
        <charset val="128"/>
      </rPr>
      <t>粒径レンジ</t>
    </r>
    <r>
      <rPr>
        <i/>
        <sz val="10"/>
        <rFont val="Times New Roman"/>
        <family val="1"/>
      </rPr>
      <t>i</t>
    </r>
    <r>
      <rPr>
        <sz val="10"/>
        <rFont val="ＭＳ Ｐ明朝"/>
        <family val="1"/>
        <charset val="128"/>
      </rPr>
      <t>での除電処理後の粒径別捕集率（部分捕集率）</t>
    </r>
    <r>
      <rPr>
        <sz val="10"/>
        <rFont val="Times New Roman"/>
        <family val="1"/>
      </rPr>
      <t xml:space="preserve"> (</t>
    </r>
    <r>
      <rPr>
        <sz val="10"/>
        <rFont val="ＭＳ Ｐ明朝"/>
        <family val="1"/>
        <charset val="128"/>
      </rPr>
      <t>％</t>
    </r>
    <r>
      <rPr>
        <sz val="10"/>
        <rFont val="Times New Roman"/>
        <family val="1"/>
      </rPr>
      <t>)</t>
    </r>
    <phoneticPr fontId="2"/>
  </si>
  <si>
    <r>
      <rPr>
        <sz val="10"/>
        <rFont val="ＭＳ Ｐ明朝"/>
        <family val="1"/>
        <charset val="128"/>
      </rPr>
      <t>粒径レンジ</t>
    </r>
    <r>
      <rPr>
        <i/>
        <sz val="10"/>
        <rFont val="Times New Roman"/>
        <family val="1"/>
      </rPr>
      <t>i</t>
    </r>
    <r>
      <rPr>
        <sz val="10"/>
        <rFont val="ＭＳ Ｐ明朝"/>
        <family val="1"/>
        <charset val="128"/>
      </rPr>
      <t>での平均粒径別捕集率（部分捕集率）</t>
    </r>
    <r>
      <rPr>
        <sz val="10"/>
        <rFont val="Times New Roman"/>
        <family val="1"/>
      </rPr>
      <t xml:space="preserve"> (</t>
    </r>
    <r>
      <rPr>
        <sz val="10"/>
        <rFont val="ＭＳ Ｐ明朝"/>
        <family val="1"/>
        <charset val="128"/>
      </rPr>
      <t>％</t>
    </r>
    <r>
      <rPr>
        <sz val="10"/>
        <rFont val="Times New Roman"/>
        <family val="1"/>
      </rPr>
      <t>)</t>
    </r>
    <phoneticPr fontId="2"/>
  </si>
  <si>
    <r>
      <rPr>
        <i/>
        <sz val="10"/>
        <rFont val="Times New Roman"/>
        <family val="1"/>
      </rPr>
      <t>e</t>
    </r>
    <r>
      <rPr>
        <sz val="10"/>
        <rFont val="Times New Roman"/>
        <family val="1"/>
      </rPr>
      <t>PM</t>
    </r>
    <r>
      <rPr>
        <vertAlign val="subscript"/>
        <sz val="10"/>
        <rFont val="Times New Roman"/>
        <family val="1"/>
      </rPr>
      <t>1, min</t>
    </r>
    <phoneticPr fontId="2"/>
  </si>
  <si>
    <r>
      <rPr>
        <i/>
        <sz val="10"/>
        <rFont val="Times New Roman"/>
        <family val="1"/>
      </rPr>
      <t>e</t>
    </r>
    <r>
      <rPr>
        <sz val="10"/>
        <rFont val="Times New Roman"/>
        <family val="1"/>
      </rPr>
      <t>PM</t>
    </r>
    <r>
      <rPr>
        <vertAlign val="subscript"/>
        <sz val="10"/>
        <rFont val="Times New Roman"/>
        <family val="1"/>
      </rPr>
      <t>2.5, min</t>
    </r>
    <phoneticPr fontId="2"/>
  </si>
  <si>
    <r>
      <rPr>
        <i/>
        <sz val="10"/>
        <rFont val="Times New Roman"/>
        <family val="1"/>
      </rPr>
      <t>e</t>
    </r>
    <r>
      <rPr>
        <sz val="10"/>
        <rFont val="Times New Roman"/>
        <family val="1"/>
      </rPr>
      <t>PM</t>
    </r>
    <r>
      <rPr>
        <i/>
        <vertAlign val="subscript"/>
        <sz val="10"/>
        <rFont val="Times New Roman"/>
        <family val="1"/>
      </rPr>
      <t>x</t>
    </r>
    <r>
      <rPr>
        <vertAlign val="subscript"/>
        <sz val="10"/>
        <rFont val="Times New Roman"/>
        <family val="1"/>
      </rPr>
      <t>, min</t>
    </r>
    <phoneticPr fontId="2"/>
  </si>
  <si>
    <t>JIS</t>
    <phoneticPr fontId="2"/>
  </si>
  <si>
    <t>d50</t>
    <phoneticPr fontId="2"/>
  </si>
  <si>
    <r>
      <rPr>
        <sz val="10"/>
        <color theme="1"/>
        <rFont val="ＭＳ Ｐ明朝"/>
        <family val="1"/>
        <charset val="128"/>
      </rPr>
      <t>σ</t>
    </r>
    <r>
      <rPr>
        <sz val="10"/>
        <color theme="1"/>
        <rFont val="Times New Roman"/>
        <family val="1"/>
      </rPr>
      <t>g</t>
    </r>
    <phoneticPr fontId="2"/>
  </si>
  <si>
    <t>B</t>
    <phoneticPr fontId="2"/>
  </si>
  <si>
    <r>
      <t>q3(d) = y f(lnd,</t>
    </r>
    <r>
      <rPr>
        <sz val="10"/>
        <color theme="1"/>
        <rFont val="ＭＳ Ｐ明朝"/>
        <family val="1"/>
        <charset val="128"/>
      </rPr>
      <t>σ</t>
    </r>
    <r>
      <rPr>
        <sz val="10"/>
        <color theme="1"/>
        <rFont val="Times New Roman"/>
        <family val="1"/>
      </rPr>
      <t>gA,d50A) + (1-y) (lnd,</t>
    </r>
    <r>
      <rPr>
        <sz val="10"/>
        <color theme="1"/>
        <rFont val="ＭＳ Ｐ明朝"/>
        <family val="1"/>
        <charset val="128"/>
      </rPr>
      <t>σ</t>
    </r>
    <r>
      <rPr>
        <sz val="10"/>
        <color theme="1"/>
        <rFont val="Times New Roman"/>
        <family val="1"/>
      </rPr>
      <t>gB, d50B)</t>
    </r>
    <phoneticPr fontId="2"/>
  </si>
  <si>
    <r>
      <t>f(lnd,σg,d50) = (1/ln</t>
    </r>
    <r>
      <rPr>
        <sz val="10"/>
        <color theme="1"/>
        <rFont val="ＭＳ Ｐ明朝"/>
        <family val="1"/>
        <charset val="128"/>
      </rPr>
      <t>σ</t>
    </r>
    <r>
      <rPr>
        <sz val="10"/>
        <color theme="1"/>
        <rFont val="Times New Roman"/>
        <family val="1"/>
      </rPr>
      <t>g</t>
    </r>
    <r>
      <rPr>
        <sz val="10"/>
        <color theme="1"/>
        <rFont val="ＭＳ Ｐ明朝"/>
        <family val="1"/>
        <charset val="128"/>
      </rPr>
      <t>√</t>
    </r>
    <r>
      <rPr>
        <sz val="10"/>
        <color theme="1"/>
        <rFont val="Times New Roman"/>
        <family val="1"/>
      </rPr>
      <t>2</t>
    </r>
    <r>
      <rPr>
        <sz val="10"/>
        <color theme="1"/>
        <rFont val="ＭＳ Ｐ明朝"/>
        <family val="1"/>
        <charset val="128"/>
      </rPr>
      <t>π</t>
    </r>
    <r>
      <rPr>
        <sz val="10"/>
        <color theme="1"/>
        <rFont val="Times New Roman"/>
        <family val="1"/>
      </rPr>
      <t>) exp (-(lnd-lnd50)^2 / 2(ln</t>
    </r>
    <r>
      <rPr>
        <sz val="10"/>
        <color theme="1"/>
        <rFont val="ＭＳ Ｐ明朝"/>
        <family val="1"/>
        <charset val="128"/>
      </rPr>
      <t>σ</t>
    </r>
    <r>
      <rPr>
        <sz val="10"/>
        <color theme="1"/>
        <rFont val="Times New Roman"/>
        <family val="1"/>
      </rPr>
      <t>g)^2)</t>
    </r>
    <phoneticPr fontId="2"/>
  </si>
  <si>
    <t>フィルタユニットA</t>
    <phoneticPr fontId="2"/>
  </si>
  <si>
    <t>urban</t>
    <phoneticPr fontId="2"/>
  </si>
  <si>
    <t>rural</t>
    <phoneticPr fontId="2"/>
  </si>
  <si>
    <r>
      <rPr>
        <b/>
        <sz val="12"/>
        <rFont val="ＭＳ 明朝"/>
        <family val="1"/>
        <charset val="128"/>
      </rPr>
      <t>【参考】</t>
    </r>
    <r>
      <rPr>
        <b/>
        <sz val="12"/>
        <rFont val="Times New Roman"/>
        <family val="1"/>
      </rPr>
      <t xml:space="preserve">ISO 16890-1 - </t>
    </r>
    <r>
      <rPr>
        <b/>
        <sz val="12"/>
        <rFont val="ＭＳ 明朝"/>
        <family val="1"/>
        <charset val="128"/>
      </rPr>
      <t>粒径別捕集率値詳細</t>
    </r>
    <rPh sb="1" eb="3">
      <t>サンコウ</t>
    </rPh>
    <rPh sb="18" eb="21">
      <t>リュウケイベツ</t>
    </rPh>
    <rPh sb="21" eb="24">
      <t>ホシュウリツ</t>
    </rPh>
    <rPh sb="24" eb="25">
      <t>チ</t>
    </rPh>
    <rPh sb="25" eb="27">
      <t>ショウサイ</t>
    </rPh>
    <phoneticPr fontId="2"/>
  </si>
  <si>
    <r>
      <rPr>
        <b/>
        <sz val="12"/>
        <rFont val="ＭＳ 明朝"/>
        <family val="1"/>
        <charset val="128"/>
      </rPr>
      <t>【参考】</t>
    </r>
    <r>
      <rPr>
        <b/>
        <sz val="12"/>
        <rFont val="Times New Roman"/>
        <family val="1"/>
      </rPr>
      <t xml:space="preserve">ISO 16890-1 - </t>
    </r>
    <r>
      <rPr>
        <b/>
        <sz val="12"/>
        <rFont val="ＭＳ 明朝"/>
        <family val="1"/>
        <charset val="128"/>
      </rPr>
      <t>粒子状物質捕集率</t>
    </r>
    <r>
      <rPr>
        <b/>
        <i/>
        <sz val="12"/>
        <rFont val="Times New Roman"/>
        <family val="1"/>
      </rPr>
      <t>e</t>
    </r>
    <r>
      <rPr>
        <b/>
        <sz val="12"/>
        <rFont val="Times New Roman"/>
        <family val="1"/>
      </rPr>
      <t>PM</t>
    </r>
    <r>
      <rPr>
        <b/>
        <i/>
        <vertAlign val="subscript"/>
        <sz val="12"/>
        <rFont val="Times New Roman"/>
        <family val="1"/>
      </rPr>
      <t>x</t>
    </r>
    <r>
      <rPr>
        <b/>
        <sz val="12"/>
        <rFont val="ＭＳ 明朝"/>
        <family val="1"/>
        <charset val="128"/>
      </rPr>
      <t>計算詳細</t>
    </r>
    <rPh sb="18" eb="21">
      <t>リュウシジョウ</t>
    </rPh>
    <rPh sb="21" eb="23">
      <t>ブッシツ</t>
    </rPh>
    <rPh sb="23" eb="26">
      <t>ホシュウリツ</t>
    </rPh>
    <rPh sb="30" eb="32">
      <t>ケイサン</t>
    </rPh>
    <rPh sb="32" eb="34">
      <t>ショウサイ</t>
    </rPh>
    <phoneticPr fontId="2"/>
  </si>
  <si>
    <t>urban(-)</t>
    <phoneticPr fontId="2"/>
  </si>
  <si>
    <t>rural(-)</t>
    <phoneticPr fontId="2"/>
  </si>
  <si>
    <r>
      <t>0.3</t>
    </r>
    <r>
      <rPr>
        <sz val="10"/>
        <color theme="1"/>
        <rFont val="ＭＳ 明朝"/>
        <family val="1"/>
        <charset val="128"/>
      </rPr>
      <t>～</t>
    </r>
    <r>
      <rPr>
        <sz val="10"/>
        <color theme="1"/>
        <rFont val="Times New Roman"/>
        <family val="1"/>
      </rPr>
      <t>1.0μm</t>
    </r>
    <r>
      <rPr>
        <sz val="10"/>
        <color theme="1"/>
        <rFont val="ＭＳ 明朝"/>
        <family val="1"/>
        <charset val="128"/>
      </rPr>
      <t>合計</t>
    </r>
    <rPh sb="9" eb="11">
      <t>ゴウケイ</t>
    </rPh>
    <phoneticPr fontId="2"/>
  </si>
  <si>
    <r>
      <t>0.3</t>
    </r>
    <r>
      <rPr>
        <sz val="10"/>
        <color theme="1"/>
        <rFont val="ＭＳ 明朝"/>
        <family val="1"/>
        <charset val="128"/>
      </rPr>
      <t>～</t>
    </r>
    <r>
      <rPr>
        <sz val="10"/>
        <color theme="1"/>
        <rFont val="Times New Roman"/>
        <family val="1"/>
      </rPr>
      <t>2.5μm</t>
    </r>
    <r>
      <rPr>
        <sz val="10"/>
        <color theme="1"/>
        <rFont val="ＭＳ 明朝"/>
        <family val="1"/>
        <charset val="128"/>
      </rPr>
      <t>合計</t>
    </r>
    <rPh sb="9" eb="11">
      <t>ゴウケイ</t>
    </rPh>
    <phoneticPr fontId="2"/>
  </si>
  <si>
    <r>
      <t>0.3</t>
    </r>
    <r>
      <rPr>
        <sz val="10"/>
        <color theme="1"/>
        <rFont val="ＭＳ 明朝"/>
        <family val="1"/>
        <charset val="128"/>
      </rPr>
      <t>～</t>
    </r>
    <r>
      <rPr>
        <sz val="10"/>
        <color theme="1"/>
        <rFont val="Times New Roman"/>
        <family val="1"/>
      </rPr>
      <t>10μm</t>
    </r>
    <r>
      <rPr>
        <sz val="10"/>
        <color theme="1"/>
        <rFont val="ＭＳ 明朝"/>
        <family val="1"/>
        <charset val="128"/>
      </rPr>
      <t>合計</t>
    </r>
    <rPh sb="8" eb="10">
      <t>ゴウケイ</t>
    </rPh>
    <phoneticPr fontId="2"/>
  </si>
  <si>
    <r>
      <t xml:space="preserve">JIS B 9908-1 - </t>
    </r>
    <r>
      <rPr>
        <b/>
        <sz val="12"/>
        <rFont val="ＭＳ 明朝"/>
        <family val="1"/>
        <charset val="128"/>
      </rPr>
      <t>粒子状物質捕集率</t>
    </r>
    <r>
      <rPr>
        <b/>
        <sz val="12"/>
        <rFont val="Times New Roman"/>
        <family val="1"/>
      </rPr>
      <t>J-</t>
    </r>
    <r>
      <rPr>
        <b/>
        <i/>
        <sz val="12"/>
        <rFont val="Times New Roman"/>
        <family val="1"/>
      </rPr>
      <t>e</t>
    </r>
    <r>
      <rPr>
        <b/>
        <sz val="12"/>
        <rFont val="Times New Roman"/>
        <family val="1"/>
      </rPr>
      <t>PM</t>
    </r>
    <r>
      <rPr>
        <b/>
        <i/>
        <vertAlign val="subscript"/>
        <sz val="12"/>
        <rFont val="Times New Roman"/>
        <family val="1"/>
      </rPr>
      <t>x</t>
    </r>
    <r>
      <rPr>
        <b/>
        <sz val="12"/>
        <rFont val="ＭＳ 明朝"/>
        <family val="1"/>
        <charset val="128"/>
      </rPr>
      <t>計算詳細</t>
    </r>
    <rPh sb="15" eb="18">
      <t>リュウシジョウ</t>
    </rPh>
    <rPh sb="18" eb="20">
      <t>ブッシツ</t>
    </rPh>
    <rPh sb="20" eb="23">
      <t>ホシュウリツ</t>
    </rPh>
    <rPh sb="29" eb="31">
      <t>ケイサン</t>
    </rPh>
    <rPh sb="31" eb="33">
      <t>ショウサイ</t>
    </rPh>
    <phoneticPr fontId="2"/>
  </si>
  <si>
    <r>
      <t>J-</t>
    </r>
    <r>
      <rPr>
        <i/>
        <sz val="10"/>
        <rFont val="Times New Roman"/>
        <family val="1"/>
      </rPr>
      <t>e</t>
    </r>
    <r>
      <rPr>
        <sz val="10"/>
        <rFont val="Times New Roman"/>
        <family val="1"/>
      </rPr>
      <t>PM</t>
    </r>
    <r>
      <rPr>
        <i/>
        <vertAlign val="subscript"/>
        <sz val="10"/>
        <rFont val="Times New Roman"/>
        <family val="1"/>
      </rPr>
      <t>x</t>
    </r>
    <r>
      <rPr>
        <vertAlign val="subscript"/>
        <sz val="10"/>
        <rFont val="Times New Roman"/>
        <family val="1"/>
      </rPr>
      <t>, min</t>
    </r>
    <phoneticPr fontId="2"/>
  </si>
  <si>
    <r>
      <t>J-</t>
    </r>
    <r>
      <rPr>
        <i/>
        <sz val="10"/>
        <rFont val="Times New Roman"/>
        <family val="1"/>
      </rPr>
      <t>e</t>
    </r>
    <r>
      <rPr>
        <sz val="10"/>
        <rFont val="Times New Roman"/>
        <family val="1"/>
      </rPr>
      <t>PM</t>
    </r>
    <r>
      <rPr>
        <i/>
        <vertAlign val="subscript"/>
        <sz val="10"/>
        <rFont val="Times New Roman"/>
        <family val="1"/>
      </rPr>
      <t>x</t>
    </r>
    <phoneticPr fontId="2"/>
  </si>
  <si>
    <r>
      <t>J-</t>
    </r>
    <r>
      <rPr>
        <i/>
        <sz val="10"/>
        <rFont val="Times New Roman"/>
        <family val="1"/>
      </rPr>
      <t>e</t>
    </r>
    <r>
      <rPr>
        <sz val="10"/>
        <rFont val="Times New Roman"/>
        <family val="1"/>
      </rPr>
      <t>PM</t>
    </r>
    <r>
      <rPr>
        <vertAlign val="subscript"/>
        <sz val="10"/>
        <rFont val="Times New Roman"/>
        <family val="1"/>
      </rPr>
      <t>1, min</t>
    </r>
    <phoneticPr fontId="2"/>
  </si>
  <si>
    <r>
      <t>J-</t>
    </r>
    <r>
      <rPr>
        <i/>
        <sz val="10"/>
        <rFont val="Times New Roman"/>
        <family val="1"/>
      </rPr>
      <t>e</t>
    </r>
    <r>
      <rPr>
        <sz val="10"/>
        <rFont val="Times New Roman"/>
        <family val="1"/>
      </rPr>
      <t>PM</t>
    </r>
    <r>
      <rPr>
        <vertAlign val="subscript"/>
        <sz val="10"/>
        <rFont val="Times New Roman"/>
        <family val="1"/>
      </rPr>
      <t>1</t>
    </r>
    <phoneticPr fontId="2"/>
  </si>
  <si>
    <r>
      <t>J-</t>
    </r>
    <r>
      <rPr>
        <i/>
        <sz val="10"/>
        <rFont val="Times New Roman"/>
        <family val="1"/>
      </rPr>
      <t>e</t>
    </r>
    <r>
      <rPr>
        <sz val="10"/>
        <rFont val="Times New Roman"/>
        <family val="1"/>
      </rPr>
      <t>PM</t>
    </r>
    <r>
      <rPr>
        <vertAlign val="subscript"/>
        <sz val="10"/>
        <rFont val="Times New Roman"/>
        <family val="1"/>
      </rPr>
      <t>2.5, min</t>
    </r>
    <phoneticPr fontId="2"/>
  </si>
  <si>
    <r>
      <t>J-</t>
    </r>
    <r>
      <rPr>
        <i/>
        <sz val="10"/>
        <rFont val="Times New Roman"/>
        <family val="1"/>
      </rPr>
      <t>e</t>
    </r>
    <r>
      <rPr>
        <sz val="10"/>
        <rFont val="Times New Roman"/>
        <family val="1"/>
      </rPr>
      <t>PM</t>
    </r>
    <r>
      <rPr>
        <vertAlign val="subscript"/>
        <sz val="10"/>
        <rFont val="Times New Roman"/>
        <family val="1"/>
      </rPr>
      <t>2.5</t>
    </r>
    <phoneticPr fontId="2"/>
  </si>
  <si>
    <r>
      <t>J-</t>
    </r>
    <r>
      <rPr>
        <i/>
        <sz val="10"/>
        <rFont val="Times New Roman"/>
        <family val="1"/>
      </rPr>
      <t>e</t>
    </r>
    <r>
      <rPr>
        <sz val="10"/>
        <rFont val="Times New Roman"/>
        <family val="1"/>
      </rPr>
      <t>PM</t>
    </r>
    <r>
      <rPr>
        <vertAlign val="subscript"/>
        <sz val="10"/>
        <rFont val="Times New Roman"/>
        <family val="1"/>
      </rPr>
      <t>10</t>
    </r>
    <phoneticPr fontId="2"/>
  </si>
  <si>
    <r>
      <t xml:space="preserve">JIS </t>
    </r>
    <r>
      <rPr>
        <i/>
        <sz val="10"/>
        <color theme="1"/>
        <rFont val="Times New Roman"/>
        <family val="1"/>
      </rPr>
      <t>e</t>
    </r>
    <r>
      <rPr>
        <sz val="10"/>
        <color theme="1"/>
        <rFont val="Times New Roman"/>
        <family val="1"/>
      </rPr>
      <t>PM1</t>
    </r>
    <phoneticPr fontId="2"/>
  </si>
  <si>
    <r>
      <t xml:space="preserve">JIS </t>
    </r>
    <r>
      <rPr>
        <i/>
        <sz val="10"/>
        <color theme="1"/>
        <rFont val="Times New Roman"/>
        <family val="1"/>
      </rPr>
      <t>e</t>
    </r>
    <r>
      <rPr>
        <sz val="10"/>
        <color theme="1"/>
        <rFont val="Times New Roman"/>
        <family val="1"/>
      </rPr>
      <t>PM2.5</t>
    </r>
    <phoneticPr fontId="2"/>
  </si>
  <si>
    <r>
      <t xml:space="preserve">JIS </t>
    </r>
    <r>
      <rPr>
        <i/>
        <sz val="10"/>
        <color theme="1"/>
        <rFont val="Times New Roman"/>
        <family val="1"/>
      </rPr>
      <t>e</t>
    </r>
    <r>
      <rPr>
        <sz val="10"/>
        <color theme="1"/>
        <rFont val="Times New Roman"/>
        <family val="1"/>
      </rPr>
      <t>PM10</t>
    </r>
    <phoneticPr fontId="2"/>
  </si>
  <si>
    <r>
      <t xml:space="preserve">ISO </t>
    </r>
    <r>
      <rPr>
        <i/>
        <sz val="10"/>
        <color theme="1"/>
        <rFont val="Times New Roman"/>
        <family val="1"/>
      </rPr>
      <t>e</t>
    </r>
    <r>
      <rPr>
        <sz val="10"/>
        <color theme="1"/>
        <rFont val="Times New Roman"/>
        <family val="1"/>
      </rPr>
      <t>PM1</t>
    </r>
    <phoneticPr fontId="2"/>
  </si>
  <si>
    <r>
      <t xml:space="preserve">ISO </t>
    </r>
    <r>
      <rPr>
        <i/>
        <sz val="10"/>
        <color theme="1"/>
        <rFont val="Times New Roman"/>
        <family val="1"/>
      </rPr>
      <t>e</t>
    </r>
    <r>
      <rPr>
        <sz val="10"/>
        <color theme="1"/>
        <rFont val="Times New Roman"/>
        <family val="1"/>
      </rPr>
      <t>PM2.5</t>
    </r>
    <phoneticPr fontId="2"/>
  </si>
  <si>
    <r>
      <t xml:space="preserve">ISO </t>
    </r>
    <r>
      <rPr>
        <i/>
        <sz val="10"/>
        <color theme="1"/>
        <rFont val="Times New Roman"/>
        <family val="1"/>
      </rPr>
      <t>e</t>
    </r>
    <r>
      <rPr>
        <sz val="10"/>
        <color theme="1"/>
        <rFont val="Times New Roman"/>
        <family val="1"/>
      </rPr>
      <t>PM10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</si>
</sst>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###\ ###"/>
    <numFmt numFmtId="178" formatCode="0.###\ ##0"/>
    <numFmt numFmtId="179" formatCode="0.###\ 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vertAlign val="subscript"/>
      <sz val="10"/>
      <color theme="1"/>
      <name val="Times New Roman"/>
      <family val="1"/>
    </font>
    <font>
      <i/>
      <vertAlign val="subscript"/>
      <sz val="10"/>
      <color theme="1"/>
      <name val="ＭＳ 明朝"/>
      <family val="1"/>
      <charset val="128"/>
    </font>
    <font>
      <sz val="10"/>
      <name val="Times New Roman"/>
      <family val="1"/>
    </font>
    <font>
      <b/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i/>
      <sz val="10"/>
      <name val="Times New Roman"/>
      <family val="1"/>
    </font>
    <font>
      <i/>
      <vertAlign val="subscript"/>
      <sz val="10"/>
      <name val="Times New Roman"/>
      <family val="1"/>
    </font>
    <font>
      <i/>
      <vertAlign val="subscript"/>
      <sz val="10"/>
      <name val="ＭＳ 明朝"/>
      <family val="1"/>
      <charset val="128"/>
    </font>
    <font>
      <vertAlign val="subscript"/>
      <sz val="10"/>
      <name val="Times New Roman"/>
      <family val="1"/>
    </font>
    <font>
      <vertAlign val="superscript"/>
      <sz val="10"/>
      <name val="Times New Roman"/>
      <family val="1"/>
    </font>
    <font>
      <sz val="10"/>
      <name val="ＭＳ 明朝"/>
      <family val="1"/>
      <charset val="128"/>
    </font>
    <font>
      <b/>
      <sz val="12"/>
      <name val="Times New Roman"/>
      <family val="1"/>
    </font>
    <font>
      <b/>
      <sz val="12"/>
      <name val="ＭＳ 明朝"/>
      <family val="1"/>
      <charset val="128"/>
    </font>
    <font>
      <b/>
      <sz val="10"/>
      <name val="Times New Roman"/>
      <family val="1"/>
    </font>
    <font>
      <sz val="10"/>
      <name val="ＭＳ Ｐ明朝"/>
      <family val="1"/>
      <charset val="128"/>
    </font>
    <font>
      <b/>
      <i/>
      <vertAlign val="subscript"/>
      <sz val="12"/>
      <name val="Times New Roman"/>
      <family val="1"/>
    </font>
    <font>
      <b/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8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17" fillId="2" borderId="3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9" fontId="11" fillId="2" borderId="1" xfId="1" applyFont="1" applyFill="1" applyBorder="1" applyAlignment="1">
      <alignment horizontal="center" vertical="center"/>
    </xf>
    <xf numFmtId="0" fontId="11" fillId="2" borderId="3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11" fillId="2" borderId="9" xfId="0" applyFont="1" applyFill="1" applyBorder="1">
      <alignment vertical="center"/>
    </xf>
    <xf numFmtId="0" fontId="23" fillId="2" borderId="2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vertical="center"/>
    </xf>
    <xf numFmtId="0" fontId="17" fillId="2" borderId="1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23" fillId="0" borderId="3" xfId="0" applyFont="1" applyFill="1" applyBorder="1" applyAlignment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9" fontId="11" fillId="0" borderId="1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177" fontId="5" fillId="2" borderId="9" xfId="0" applyNumberFormat="1" applyFont="1" applyFill="1" applyBorder="1" applyAlignment="1">
      <alignment horizontal="center" vertical="center"/>
    </xf>
    <xf numFmtId="1" fontId="5" fillId="2" borderId="9" xfId="1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 applyProtection="1">
      <alignment horizontal="center" vertical="center"/>
      <protection locked="0"/>
    </xf>
    <xf numFmtId="176" fontId="11" fillId="3" borderId="1" xfId="0" applyNumberFormat="1" applyFont="1" applyFill="1" applyBorder="1" applyAlignment="1" applyProtection="1">
      <alignment horizontal="center" vertical="center" shrinkToFit="1"/>
      <protection locked="0"/>
    </xf>
    <xf numFmtId="1" fontId="11" fillId="3" borderId="1" xfId="1" applyNumberFormat="1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vertical="center"/>
      <protection locked="0"/>
    </xf>
    <xf numFmtId="0" fontId="11" fillId="2" borderId="8" xfId="0" applyFont="1" applyFill="1" applyBorder="1" applyProtection="1">
      <alignment vertical="center"/>
      <protection locked="0"/>
    </xf>
    <xf numFmtId="0" fontId="5" fillId="2" borderId="8" xfId="0" applyFont="1" applyFill="1" applyBorder="1" applyProtection="1">
      <alignment vertical="center"/>
      <protection locked="0"/>
    </xf>
    <xf numFmtId="0" fontId="22" fillId="2" borderId="8" xfId="0" applyFont="1" applyFill="1" applyBorder="1" applyProtection="1">
      <alignment vertical="center"/>
      <protection locked="0"/>
    </xf>
    <xf numFmtId="0" fontId="11" fillId="2" borderId="8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23" fillId="2" borderId="9" xfId="0" applyFont="1" applyFill="1" applyBorder="1" applyAlignment="1" applyProtection="1">
      <alignment vertical="center"/>
      <protection locked="0"/>
    </xf>
    <xf numFmtId="0" fontId="23" fillId="2" borderId="10" xfId="0" applyFont="1" applyFill="1" applyBorder="1" applyAlignment="1" applyProtection="1">
      <alignment vertical="center"/>
      <protection locked="0"/>
    </xf>
    <xf numFmtId="0" fontId="11" fillId="2" borderId="10" xfId="0" applyFont="1" applyFill="1" applyBorder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vertical="center"/>
      <protection locked="0"/>
    </xf>
    <xf numFmtId="0" fontId="22" fillId="2" borderId="8" xfId="0" applyFont="1" applyFill="1" applyBorder="1" applyAlignment="1" applyProtection="1">
      <alignment vertical="center"/>
      <protection locked="0"/>
    </xf>
    <xf numFmtId="0" fontId="25" fillId="2" borderId="9" xfId="0" applyFont="1" applyFill="1" applyBorder="1" applyAlignment="1" applyProtection="1">
      <alignment vertical="center"/>
      <protection locked="0"/>
    </xf>
    <xf numFmtId="0" fontId="25" fillId="2" borderId="10" xfId="0" applyFont="1" applyFill="1" applyBorder="1" applyAlignment="1" applyProtection="1">
      <alignment vertical="center"/>
      <protection locked="0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25" fillId="2" borderId="9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</cellXfs>
  <cellStyles count="6">
    <cellStyle name="パーセント" xfId="1" builtinId="5"/>
    <cellStyle name="パーセント 2" xfId="3"/>
    <cellStyle name="ハイパーリンク 2" xfId="5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opLeftCell="A37" zoomScaleNormal="100" workbookViewId="0">
      <selection activeCell="G3" sqref="G3:I3"/>
    </sheetView>
  </sheetViews>
  <sheetFormatPr defaultColWidth="9" defaultRowHeight="17.25" customHeight="1" x14ac:dyDescent="0.2"/>
  <cols>
    <col min="1" max="1" width="3.6640625" style="1" customWidth="1"/>
    <col min="2" max="5" width="10.109375" style="1" customWidth="1"/>
    <col min="6" max="6" width="14.109375" style="1" bestFit="1" customWidth="1"/>
    <col min="7" max="9" width="10.109375" style="1" customWidth="1"/>
    <col min="10" max="10" width="3.6640625" style="1" customWidth="1"/>
    <col min="11" max="11" width="5.6640625" style="1" customWidth="1"/>
    <col min="12" max="13" width="8.6640625" style="1" customWidth="1"/>
    <col min="14" max="14" width="9.6640625" style="47" customWidth="1"/>
    <col min="15" max="15" width="9.6640625" style="1" customWidth="1"/>
    <col min="16" max="16" width="14.109375" style="1" bestFit="1" customWidth="1"/>
    <col min="17" max="17" width="12.109375" style="1" bestFit="1" customWidth="1"/>
    <col min="18" max="18" width="11.44140625" style="1" bestFit="1" customWidth="1"/>
    <col min="19" max="19" width="8.6640625" style="1" bestFit="1" customWidth="1"/>
    <col min="20" max="16384" width="9" style="1"/>
  </cols>
  <sheetData>
    <row r="1" spans="2:26" ht="17.25" customHeight="1" x14ac:dyDescent="0.2">
      <c r="U1" s="1" t="s">
        <v>60</v>
      </c>
    </row>
    <row r="2" spans="2:26" ht="17.25" customHeight="1" x14ac:dyDescent="0.2">
      <c r="B2" s="31" t="s">
        <v>19</v>
      </c>
      <c r="C2" s="19"/>
      <c r="D2" s="19"/>
      <c r="E2" s="19"/>
      <c r="F2" s="5"/>
      <c r="G2" s="3"/>
      <c r="H2" s="3"/>
      <c r="I2" s="4"/>
      <c r="K2" s="31" t="s">
        <v>72</v>
      </c>
      <c r="L2" s="41"/>
      <c r="M2" s="41"/>
      <c r="N2" s="48"/>
      <c r="O2" s="41"/>
      <c r="P2" s="30"/>
      <c r="Q2" s="28"/>
      <c r="R2" s="28"/>
      <c r="S2" s="29"/>
      <c r="U2" s="1" t="s">
        <v>61</v>
      </c>
    </row>
    <row r="3" spans="2:26" ht="17.25" customHeight="1" x14ac:dyDescent="0.2">
      <c r="B3" s="69" t="s">
        <v>11</v>
      </c>
      <c r="C3" s="78"/>
      <c r="D3" s="78"/>
      <c r="E3" s="79"/>
      <c r="F3" s="70" t="s">
        <v>0</v>
      </c>
      <c r="G3" s="92"/>
      <c r="H3" s="92"/>
      <c r="I3" s="93"/>
      <c r="K3" s="72" t="s">
        <v>11</v>
      </c>
      <c r="L3" s="73"/>
      <c r="M3" s="74"/>
      <c r="N3" s="74"/>
      <c r="O3" s="75"/>
      <c r="P3" s="69" t="s">
        <v>12</v>
      </c>
      <c r="Q3" s="73"/>
      <c r="R3" s="73"/>
      <c r="S3" s="76"/>
    </row>
    <row r="4" spans="2:26" ht="17.25" customHeight="1" x14ac:dyDescent="0.2">
      <c r="B4" s="69" t="s">
        <v>14</v>
      </c>
      <c r="C4" s="77" t="s">
        <v>62</v>
      </c>
      <c r="D4" s="78"/>
      <c r="E4" s="79"/>
      <c r="F4" s="71" t="s">
        <v>29</v>
      </c>
      <c r="G4" s="92"/>
      <c r="H4" s="92"/>
      <c r="I4" s="93"/>
      <c r="K4" s="72" t="s">
        <v>14</v>
      </c>
      <c r="L4" s="73"/>
      <c r="M4" s="77" t="s">
        <v>62</v>
      </c>
      <c r="N4" s="78"/>
      <c r="O4" s="79"/>
      <c r="P4" s="71" t="s">
        <v>29</v>
      </c>
      <c r="Q4" s="73"/>
      <c r="R4" s="73"/>
      <c r="S4" s="76"/>
      <c r="U4" s="43" t="s">
        <v>56</v>
      </c>
      <c r="V4" s="43" t="s">
        <v>7</v>
      </c>
      <c r="W4" s="43" t="s">
        <v>59</v>
      </c>
    </row>
    <row r="5" spans="2:26" ht="17.25" customHeight="1" x14ac:dyDescent="0.2">
      <c r="B5" s="71" t="s">
        <v>18</v>
      </c>
      <c r="C5" s="74"/>
      <c r="D5" s="74"/>
      <c r="E5" s="75"/>
      <c r="F5" s="69" t="s">
        <v>15</v>
      </c>
      <c r="G5" s="92"/>
      <c r="H5" s="92"/>
      <c r="I5" s="93"/>
      <c r="K5" s="80" t="s">
        <v>18</v>
      </c>
      <c r="L5" s="73"/>
      <c r="M5" s="74"/>
      <c r="N5" s="74"/>
      <c r="O5" s="75"/>
      <c r="P5" s="69" t="s">
        <v>15</v>
      </c>
      <c r="Q5" s="73"/>
      <c r="R5" s="73"/>
      <c r="S5" s="76"/>
      <c r="U5" s="43" t="s">
        <v>57</v>
      </c>
      <c r="V5" s="43">
        <v>0.5</v>
      </c>
      <c r="W5" s="43">
        <v>4</v>
      </c>
    </row>
    <row r="6" spans="2:26" ht="17.25" customHeight="1" x14ac:dyDescent="0.2">
      <c r="B6" s="69" t="s">
        <v>16</v>
      </c>
      <c r="C6" s="87"/>
      <c r="D6" s="87"/>
      <c r="E6" s="68" t="s">
        <v>17</v>
      </c>
      <c r="F6" s="69" t="s">
        <v>13</v>
      </c>
      <c r="G6" s="88"/>
      <c r="H6" s="88"/>
      <c r="I6" s="89"/>
      <c r="K6" s="72" t="s">
        <v>16</v>
      </c>
      <c r="L6" s="73"/>
      <c r="M6" s="81"/>
      <c r="N6" s="81"/>
      <c r="O6" s="68" t="s">
        <v>17</v>
      </c>
      <c r="P6" s="69" t="s">
        <v>13</v>
      </c>
      <c r="Q6" s="81"/>
      <c r="R6" s="81"/>
      <c r="S6" s="82"/>
      <c r="U6" s="43" t="s">
        <v>58</v>
      </c>
      <c r="V6" s="43">
        <v>1.8</v>
      </c>
      <c r="W6" s="43">
        <v>1.5</v>
      </c>
    </row>
    <row r="7" spans="2:26" ht="23.4" x14ac:dyDescent="0.35">
      <c r="B7" s="90" t="s">
        <v>1</v>
      </c>
      <c r="C7" s="20" t="s">
        <v>3</v>
      </c>
      <c r="D7" s="20" t="s">
        <v>20</v>
      </c>
      <c r="E7" s="7" t="s" ph="1">
        <v>2</v>
      </c>
      <c r="F7" s="8" t="s">
        <v>4</v>
      </c>
      <c r="G7" s="20" t="s">
        <v>5</v>
      </c>
      <c r="H7" s="20" t="s">
        <v>21</v>
      </c>
      <c r="I7" s="20" t="s">
        <v>22</v>
      </c>
      <c r="K7" s="83" t="s">
        <v>1</v>
      </c>
      <c r="L7" s="22" t="s" ph="1">
        <v>8</v>
      </c>
      <c r="M7" s="23" t="s">
        <v>9</v>
      </c>
      <c r="N7" s="49" t="s" ph="1">
        <v>26</v>
      </c>
      <c r="O7" s="22" t="s" ph="1">
        <v>26</v>
      </c>
      <c r="P7" s="42" t="s" ph="1">
        <v>27</v>
      </c>
      <c r="Q7" s="22" t="s" ph="1">
        <v>28</v>
      </c>
      <c r="R7" s="23" t="s">
        <v>73</v>
      </c>
      <c r="S7" s="23" t="s">
        <v>74</v>
      </c>
      <c r="U7" s="43" t="s">
        <v>6</v>
      </c>
      <c r="V7" s="43">
        <v>0.5</v>
      </c>
      <c r="W7" s="43"/>
    </row>
    <row r="8" spans="2:26" ht="15.6" x14ac:dyDescent="0.2">
      <c r="B8" s="91"/>
      <c r="C8" s="9" t="s">
        <v>30</v>
      </c>
      <c r="D8" s="9" t="s">
        <v>30</v>
      </c>
      <c r="E8" s="9" t="s">
        <v>30</v>
      </c>
      <c r="F8" s="9" t="s">
        <v>31</v>
      </c>
      <c r="G8" s="9" t="s">
        <v>32</v>
      </c>
      <c r="H8" s="9" t="s">
        <v>33</v>
      </c>
      <c r="I8" s="9" t="s">
        <v>34</v>
      </c>
      <c r="K8" s="84"/>
      <c r="L8" s="24" t="s">
        <v>36</v>
      </c>
      <c r="M8" s="24" t="s">
        <v>31</v>
      </c>
      <c r="N8" s="50" t="s">
        <v>31</v>
      </c>
      <c r="O8" s="39" t="s">
        <v>10</v>
      </c>
      <c r="P8" s="24" t="s">
        <v>10</v>
      </c>
      <c r="Q8" s="40" t="s">
        <v>37</v>
      </c>
      <c r="R8" s="24" t="s">
        <v>33</v>
      </c>
      <c r="S8" s="24" t="s">
        <v>33</v>
      </c>
      <c r="X8" s="2"/>
      <c r="Y8" s="2"/>
      <c r="Z8" s="2"/>
    </row>
    <row r="9" spans="2:26" ht="17.25" customHeight="1" x14ac:dyDescent="0.2">
      <c r="B9" s="16">
        <v>1</v>
      </c>
      <c r="C9" s="65">
        <v>0.3</v>
      </c>
      <c r="D9" s="65">
        <v>0.5</v>
      </c>
      <c r="E9" s="17">
        <f t="shared" ref="E9:E24" si="0">IF(C9="","",SQRT(C9*D9))</f>
        <v>0.3872983346207417</v>
      </c>
      <c r="F9" s="17">
        <f t="shared" ref="F9:F24" si="1">IF(C9="","",LN(D9/C9))</f>
        <v>0.51082562376599072</v>
      </c>
      <c r="G9" s="67">
        <v>66</v>
      </c>
      <c r="H9" s="67">
        <v>37</v>
      </c>
      <c r="I9" s="32">
        <f>IF(G9="","",AVERAGE(G9,H9))</f>
        <v>51.5</v>
      </c>
      <c r="K9" s="10">
        <f>IF(AND(MAX($D$9:$D$24)&gt;=1,C9&lt;1),B9,"")</f>
        <v>1</v>
      </c>
      <c r="L9" s="18">
        <f>IF(K9="","",VLOOKUP(K9,$B$9:$F$24,4))</f>
        <v>0.3872983346207417</v>
      </c>
      <c r="M9" s="18">
        <f>IF(K9="","",VLOOKUP(K9,$B$9:$F$24,5))</f>
        <v>0.51082562376599072</v>
      </c>
      <c r="N9" s="53">
        <f>IF(L9="","",($V$7*(1/(LN($V$6)*SQRT(2*PI())))*EXP(-(((LN(L9)-LN($V$5))^2)/(2*(LN($V$6)^2)))))+((1-$V$7)*(1/(LN($W$6)*SQRT(2*PI())))*EXP(-(((LN(L9)-LN($W$5))^2)/(2*(LN($W$6)^2))))))</f>
        <v>0.30878688076413846</v>
      </c>
      <c r="O9" s="34">
        <f>IF(L9="","",M9*N9)</f>
        <v>0.15773625097709562</v>
      </c>
      <c r="P9" s="34">
        <f>IF(L9="","",O9*VLOOKUP(K9,$B$9:$H$24,7)/100)</f>
        <v>5.8362412861525381E-2</v>
      </c>
      <c r="Q9" s="34">
        <f>IF(L9="","",O9*VLOOKUP(K9,$B$9:$I$24,8)/100)</f>
        <v>8.1234169253204258E-2</v>
      </c>
      <c r="R9" s="8"/>
      <c r="S9" s="8"/>
      <c r="U9" s="2">
        <f>IF(N9="","",(_xlfn.NORM.DIST(LN(L9),LN($V$5),LN($V$6),0))*$V$7+(_xlfn.NORM.DIST(LN(L9),LN($W$5),LN($W$6),0))*(1-$V$7))</f>
        <v>0.30878688076413841</v>
      </c>
      <c r="V9" s="2"/>
      <c r="W9" s="2"/>
    </row>
    <row r="10" spans="2:26" ht="17.25" customHeight="1" x14ac:dyDescent="0.2">
      <c r="B10" s="16">
        <v>2</v>
      </c>
      <c r="C10" s="64">
        <f>IF(OR(G10="",D9&gt;=10),"",D9)</f>
        <v>0.5</v>
      </c>
      <c r="D10" s="65">
        <v>0.7</v>
      </c>
      <c r="E10" s="17">
        <f t="shared" si="0"/>
        <v>0.59160797830996159</v>
      </c>
      <c r="F10" s="17">
        <f t="shared" si="1"/>
        <v>0.33647223662121289</v>
      </c>
      <c r="G10" s="67">
        <v>78</v>
      </c>
      <c r="H10" s="67">
        <v>49</v>
      </c>
      <c r="I10" s="32">
        <f t="shared" ref="I10:I24" si="2">IF(G10="","",AVERAGE(G10,H10))</f>
        <v>63.5</v>
      </c>
      <c r="K10" s="10">
        <f>IF(AND(MAX($D$9:$D$24)&gt;=1,C10&lt;1),B10,"")</f>
        <v>2</v>
      </c>
      <c r="L10" s="18">
        <f>IF(K10="","",VLOOKUP(K10,$B$9:$F$24,4))</f>
        <v>0.59160797830996159</v>
      </c>
      <c r="M10" s="18">
        <f>IF(K10="","",VLOOKUP(K10,$B$9:$F$24,5))</f>
        <v>0.33647223662121289</v>
      </c>
      <c r="N10" s="53">
        <f t="shared" ref="N10:N11" si="3">IF(L10="","",($V$7*(1/(LN($V$6)*SQRT(2*PI())))*EXP(-(((LN(L10)-LN($V$5))^2)/(2*(LN($V$6)^2)))))+((1-$V$7)*(1/(LN($W$6)*SQRT(2*PI())))*EXP(-(((LN(L10)-LN($W$5))^2)/(2*(LN($W$6)^2))))))</f>
        <v>0.32574749895888044</v>
      </c>
      <c r="O10" s="34">
        <f t="shared" ref="O10:O11" si="4">IF(L10="","",M10*N10)</f>
        <v>0.10960498954846072</v>
      </c>
      <c r="P10" s="34">
        <f t="shared" ref="P10:P11" si="5">IF(L10="","",O10*VLOOKUP(K10,$B$9:$H$24,7)/100)</f>
        <v>5.3706444878745749E-2</v>
      </c>
      <c r="Q10" s="34">
        <f t="shared" ref="Q10:Q11" si="6">IF(L10="","",O10*VLOOKUP(K10,$B$9:$I$24,8)/100)</f>
        <v>6.9599168363272568E-2</v>
      </c>
      <c r="R10" s="14"/>
      <c r="S10" s="14"/>
      <c r="U10" s="2">
        <f t="shared" ref="U10:U14" si="7">IF(N10="","",(_xlfn.NORM.DIST(LN(L10),LN($V$5),LN($V$6),0))*$V$7+(_xlfn.NORM.DIST(LN(L10),LN($W$5),LN($W$6),0))*(1-$V$7))</f>
        <v>0.32574749895888039</v>
      </c>
    </row>
    <row r="11" spans="2:26" ht="17.25" customHeight="1" x14ac:dyDescent="0.2">
      <c r="B11" s="16">
        <v>3</v>
      </c>
      <c r="C11" s="64">
        <f t="shared" ref="C11:C24" si="8">IF(OR(G11="",D10&gt;=10),"",D10)</f>
        <v>0.7</v>
      </c>
      <c r="D11" s="65">
        <v>1</v>
      </c>
      <c r="E11" s="17">
        <f t="shared" si="0"/>
        <v>0.83666002653407556</v>
      </c>
      <c r="F11" s="17">
        <f t="shared" si="1"/>
        <v>0.35667494393873239</v>
      </c>
      <c r="G11" s="67">
        <v>86.3</v>
      </c>
      <c r="H11" s="67">
        <v>59</v>
      </c>
      <c r="I11" s="32">
        <f t="shared" si="2"/>
        <v>72.650000000000006</v>
      </c>
      <c r="K11" s="10">
        <f>IF(AND(MAX($D$9:$D$24)&gt;=1,C11&lt;1),B11,"")</f>
        <v>3</v>
      </c>
      <c r="L11" s="18">
        <f>IF(K11="","",VLOOKUP(K11,$B$9:$F$24,4))</f>
        <v>0.83666002653407556</v>
      </c>
      <c r="M11" s="18">
        <f>IF(K11="","",VLOOKUP(K11,$B$9:$F$24,5))</f>
        <v>0.35667494393873239</v>
      </c>
      <c r="N11" s="53">
        <f t="shared" si="3"/>
        <v>0.23153959070681357</v>
      </c>
      <c r="O11" s="35">
        <f t="shared" si="4"/>
        <v>8.2584370534949769E-2</v>
      </c>
      <c r="P11" s="34">
        <f t="shared" si="5"/>
        <v>4.872477861562037E-2</v>
      </c>
      <c r="Q11" s="34">
        <f t="shared" si="6"/>
        <v>5.9997545193641012E-2</v>
      </c>
      <c r="R11" s="14"/>
      <c r="S11" s="14"/>
      <c r="U11" s="2">
        <f t="shared" si="7"/>
        <v>0.23153959070681354</v>
      </c>
    </row>
    <row r="12" spans="2:26" ht="17.25" customHeight="1" x14ac:dyDescent="0.2">
      <c r="B12" s="16">
        <v>4</v>
      </c>
      <c r="C12" s="64">
        <f t="shared" si="8"/>
        <v>1</v>
      </c>
      <c r="D12" s="65">
        <v>1.3</v>
      </c>
      <c r="E12" s="17">
        <f t="shared" si="0"/>
        <v>1.1401754250991381</v>
      </c>
      <c r="F12" s="17">
        <f t="shared" si="1"/>
        <v>0.26236426446749106</v>
      </c>
      <c r="G12" s="67">
        <v>92</v>
      </c>
      <c r="H12" s="67">
        <v>68</v>
      </c>
      <c r="I12" s="32">
        <f t="shared" si="2"/>
        <v>80</v>
      </c>
      <c r="K12" s="10" t="str">
        <f t="shared" ref="K12:K14" si="9">IF(AND(MAX($D$9:$D$24)&gt;=1,C12&lt;1),B12,"")</f>
        <v/>
      </c>
      <c r="L12" s="18" t="str">
        <f t="shared" ref="L12:L14" si="10">IF(K12="","",VLOOKUP(K12,$B$9:$F$24,4))</f>
        <v/>
      </c>
      <c r="M12" s="18" t="str">
        <f t="shared" ref="M12:M14" si="11">IF(K12="","",VLOOKUP(K12,$B$9:$F$24,5))</f>
        <v/>
      </c>
      <c r="N12" s="53" t="str">
        <f t="shared" ref="N12:N14" si="12">IF(L12="","",($V$7*(1/(LN($V$6)*SQRT(2*PI())))*EXP(-(((LN(L12)-LN($V$5))^2)/(2*(LN($V$6)^2)))))+((1-$V$7)*(1/(LN($W$6)*SQRT(2*PI())))*EXP(-(((LN(L12)-LN($W$5))^2)/(2*(LN($W$6)^2))))))</f>
        <v/>
      </c>
      <c r="O12" s="35" t="str">
        <f t="shared" ref="O12:O14" si="13">IF(L12="","",M12*N12)</f>
        <v/>
      </c>
      <c r="P12" s="34" t="str">
        <f t="shared" ref="P12:P14" si="14">IF(L12="","",O12*VLOOKUP(K12,$B$9:$H$24,7)/100)</f>
        <v/>
      </c>
      <c r="Q12" s="34" t="str">
        <f t="shared" ref="Q12:Q14" si="15">IF(L12="","",O12*VLOOKUP(K12,$B$9:$I$24,8)/100)</f>
        <v/>
      </c>
      <c r="R12" s="14"/>
      <c r="S12" s="14"/>
      <c r="U12" s="2" t="str">
        <f>IF(N12="","",(_xlfn.NORM.DIST(LN(L12),LN($V$5),LN($V$6),0))*$V$7+(_xlfn.NORM.DIST(LN(L12),LN($W$5),LN($W$6),0))*(1-$V$7))</f>
        <v/>
      </c>
    </row>
    <row r="13" spans="2:26" ht="17.25" customHeight="1" x14ac:dyDescent="0.2">
      <c r="B13" s="16">
        <v>5</v>
      </c>
      <c r="C13" s="64">
        <f t="shared" si="8"/>
        <v>1.3</v>
      </c>
      <c r="D13" s="65">
        <v>1.6</v>
      </c>
      <c r="E13" s="17">
        <f t="shared" si="0"/>
        <v>1.4422205101855958</v>
      </c>
      <c r="F13" s="17">
        <f t="shared" si="1"/>
        <v>0.20763936477824455</v>
      </c>
      <c r="G13" s="67">
        <v>95</v>
      </c>
      <c r="H13" s="67">
        <v>75</v>
      </c>
      <c r="I13" s="32">
        <f t="shared" si="2"/>
        <v>85</v>
      </c>
      <c r="K13" s="10" t="str">
        <f t="shared" si="9"/>
        <v/>
      </c>
      <c r="L13" s="18" t="str">
        <f t="shared" si="10"/>
        <v/>
      </c>
      <c r="M13" s="18" t="str">
        <f t="shared" si="11"/>
        <v/>
      </c>
      <c r="N13" s="53" t="str">
        <f t="shared" si="12"/>
        <v/>
      </c>
      <c r="O13" s="35" t="str">
        <f t="shared" si="13"/>
        <v/>
      </c>
      <c r="P13" s="34" t="str">
        <f t="shared" si="14"/>
        <v/>
      </c>
      <c r="Q13" s="34" t="str">
        <f t="shared" si="15"/>
        <v/>
      </c>
      <c r="R13" s="14"/>
      <c r="S13" s="14"/>
      <c r="U13" s="2" t="str">
        <f t="shared" ref="U13" si="16">IF(N13="","",(_xlfn.NORM.DIST(LN(L13),LN($V$5),LN($V$6),0))*$V$7+(_xlfn.NORM.DIST(LN(L13),LN($W$5),LN($W$6),0))*(1-$V$7))</f>
        <v/>
      </c>
    </row>
    <row r="14" spans="2:26" ht="17.25" customHeight="1" x14ac:dyDescent="0.2">
      <c r="B14" s="16">
        <v>6</v>
      </c>
      <c r="C14" s="64">
        <f t="shared" si="8"/>
        <v>1.6</v>
      </c>
      <c r="D14" s="65">
        <v>2.2000000000000002</v>
      </c>
      <c r="E14" s="17">
        <f t="shared" si="0"/>
        <v>1.8761663039293719</v>
      </c>
      <c r="F14" s="17">
        <f t="shared" si="1"/>
        <v>0.31845373111853459</v>
      </c>
      <c r="G14" s="67">
        <v>96.899999999999991</v>
      </c>
      <c r="H14" s="67">
        <v>83</v>
      </c>
      <c r="I14" s="32">
        <f t="shared" si="2"/>
        <v>89.949999999999989</v>
      </c>
      <c r="K14" s="10" t="str">
        <f t="shared" si="9"/>
        <v/>
      </c>
      <c r="L14" s="18" t="str">
        <f t="shared" si="10"/>
        <v/>
      </c>
      <c r="M14" s="18" t="str">
        <f t="shared" si="11"/>
        <v/>
      </c>
      <c r="N14" s="53" t="str">
        <f t="shared" si="12"/>
        <v/>
      </c>
      <c r="O14" s="35" t="str">
        <f t="shared" si="13"/>
        <v/>
      </c>
      <c r="P14" s="34" t="str">
        <f t="shared" si="14"/>
        <v/>
      </c>
      <c r="Q14" s="34" t="str">
        <f t="shared" si="15"/>
        <v/>
      </c>
      <c r="R14" s="24" t="s">
        <v>75</v>
      </c>
      <c r="S14" s="24" t="s">
        <v>76</v>
      </c>
      <c r="U14" s="2" t="str">
        <f t="shared" si="7"/>
        <v/>
      </c>
    </row>
    <row r="15" spans="2:26" ht="17.25" customHeight="1" x14ac:dyDescent="0.2">
      <c r="B15" s="16">
        <v>7</v>
      </c>
      <c r="C15" s="64">
        <f t="shared" si="8"/>
        <v>2.2000000000000002</v>
      </c>
      <c r="D15" s="65">
        <v>3</v>
      </c>
      <c r="E15" s="17">
        <f t="shared" si="0"/>
        <v>2.5690465157330258</v>
      </c>
      <c r="F15" s="17">
        <f t="shared" si="1"/>
        <v>0.31015492830383945</v>
      </c>
      <c r="G15" s="67">
        <v>98.4</v>
      </c>
      <c r="H15" s="67">
        <v>91</v>
      </c>
      <c r="I15" s="32">
        <f t="shared" si="2"/>
        <v>94.7</v>
      </c>
      <c r="K15" s="15"/>
      <c r="L15" s="15"/>
      <c r="M15" s="15"/>
      <c r="N15" s="51" t="s">
        <v>69</v>
      </c>
      <c r="O15" s="34">
        <f>SUM(O9:O14)</f>
        <v>0.34992561106050613</v>
      </c>
      <c r="P15" s="34">
        <f>SUM(P9:P14)</f>
        <v>0.1607936363558915</v>
      </c>
      <c r="Q15" s="34">
        <f>SUM(Q9:Q14)</f>
        <v>0.21083088281011783</v>
      </c>
      <c r="R15" s="33">
        <f>IF(P15="","",P15/O15*100)</f>
        <v>45.950805335048322</v>
      </c>
      <c r="S15" s="33">
        <f>IF(Q15="","",Q15/O15*100)</f>
        <v>60.25020065583675</v>
      </c>
    </row>
    <row r="16" spans="2:26" ht="17.25" customHeight="1" x14ac:dyDescent="0.2">
      <c r="B16" s="16">
        <v>8</v>
      </c>
      <c r="C16" s="64">
        <f t="shared" si="8"/>
        <v>3</v>
      </c>
      <c r="D16" s="66">
        <v>4</v>
      </c>
      <c r="E16" s="17">
        <f t="shared" ref="E16:E20" si="17">IF(C16="","",SQRT(C16*D16))</f>
        <v>3.4641016151377544</v>
      </c>
      <c r="F16" s="17">
        <f t="shared" ref="F16:F20" si="18">IF(C16="","",LN(D16/C16))</f>
        <v>0.28768207245178085</v>
      </c>
      <c r="G16" s="67">
        <v>99.7</v>
      </c>
      <c r="H16" s="67">
        <v>96.5</v>
      </c>
      <c r="I16" s="32">
        <f t="shared" ref="I16:I20" si="19">IF(G16="","",AVERAGE(G16,H16))</f>
        <v>98.1</v>
      </c>
      <c r="K16" s="62"/>
      <c r="L16" s="62"/>
      <c r="M16" s="62"/>
      <c r="N16" s="63"/>
      <c r="O16" s="60"/>
      <c r="P16" s="60"/>
      <c r="Q16" s="60"/>
      <c r="R16" s="61"/>
      <c r="S16" s="61"/>
    </row>
    <row r="17" spans="1:26" ht="17.25" customHeight="1" x14ac:dyDescent="0.2">
      <c r="B17" s="16">
        <v>9</v>
      </c>
      <c r="C17" s="64">
        <f t="shared" si="8"/>
        <v>4</v>
      </c>
      <c r="D17" s="65">
        <v>5.5</v>
      </c>
      <c r="E17" s="17">
        <f t="shared" si="17"/>
        <v>4.6904157598234297</v>
      </c>
      <c r="F17" s="17">
        <f t="shared" si="18"/>
        <v>0.31845373111853459</v>
      </c>
      <c r="G17" s="67">
        <v>100</v>
      </c>
      <c r="H17" s="67">
        <v>98.6</v>
      </c>
      <c r="I17" s="32">
        <f t="shared" si="19"/>
        <v>99.3</v>
      </c>
      <c r="K17" s="10">
        <f t="shared" ref="K17:K22" si="20">IF(AND(MAX($D$9:$D$24)&gt;=2.5,C9&lt;2.5),B9,"")</f>
        <v>1</v>
      </c>
      <c r="L17" s="18">
        <f t="shared" ref="L17:L22" si="21">IF(K17="","",VLOOKUP(K17,$B$9:$F$24,4))</f>
        <v>0.3872983346207417</v>
      </c>
      <c r="M17" s="18">
        <f t="shared" ref="M17:M22" si="22">IF(K17="","",VLOOKUP(K17,$B$9:$F$24,5))</f>
        <v>0.51082562376599072</v>
      </c>
      <c r="N17" s="53">
        <f t="shared" ref="N17:N20" si="23">IF(L17="","",($V$7*(1/(LN($V$6)*SQRT(2*PI())))*EXP(-(((LN(L17)-LN($V$5))^2)/(2*(LN($V$6)^2)))))+((1-$V$7)*(1/(LN($W$6)*SQRT(2*PI())))*EXP(-(((LN(L17)-LN($W$5))^2)/(2*(LN($W$6)^2))))))</f>
        <v>0.30878688076413846</v>
      </c>
      <c r="O17" s="35">
        <f t="shared" ref="O17:O20" si="24">IF(L17="","",M17*N17)</f>
        <v>0.15773625097709562</v>
      </c>
      <c r="P17" s="34">
        <f>IF(L17="","",O17*VLOOKUP(K17,$B$9:$H$24,7)/100)</f>
        <v>5.8362412861525381E-2</v>
      </c>
      <c r="Q17" s="34">
        <f>IF(L17="","",O17*VLOOKUP(K17,$B$9:$I$24,8)/100)</f>
        <v>8.1234169253204258E-2</v>
      </c>
      <c r="R17" s="8"/>
      <c r="S17" s="8"/>
      <c r="U17" s="2">
        <f>IF(N17="","",(_xlfn.NORM.DIST(LN(L17),LN($V$5),LN($V$6),0))*$V$7+(_xlfn.NORM.DIST(LN(L17),LN($W$5),LN($W$6),0))*(1-$V$7))</f>
        <v>0.30878688076413841</v>
      </c>
    </row>
    <row r="18" spans="1:26" ht="16.8" customHeight="1" x14ac:dyDescent="0.2">
      <c r="B18" s="16">
        <v>10</v>
      </c>
      <c r="C18" s="64">
        <f t="shared" si="8"/>
        <v>5.5</v>
      </c>
      <c r="D18" s="65">
        <v>7</v>
      </c>
      <c r="E18" s="17">
        <f t="shared" si="17"/>
        <v>6.2048368229954285</v>
      </c>
      <c r="F18" s="17">
        <f t="shared" si="18"/>
        <v>0.24116205681688804</v>
      </c>
      <c r="G18" s="67">
        <v>100</v>
      </c>
      <c r="H18" s="67">
        <v>100</v>
      </c>
      <c r="I18" s="32">
        <f t="shared" si="19"/>
        <v>100</v>
      </c>
      <c r="K18" s="10">
        <f t="shared" si="20"/>
        <v>2</v>
      </c>
      <c r="L18" s="18">
        <f t="shared" si="21"/>
        <v>0.59160797830996159</v>
      </c>
      <c r="M18" s="18">
        <f t="shared" si="22"/>
        <v>0.33647223662121289</v>
      </c>
      <c r="N18" s="53">
        <f t="shared" si="23"/>
        <v>0.32574749895888044</v>
      </c>
      <c r="O18" s="35">
        <f t="shared" si="24"/>
        <v>0.10960498954846072</v>
      </c>
      <c r="P18" s="34">
        <f t="shared" ref="P18:P20" si="25">IF(L18="","",O18*VLOOKUP(K18,$B$9:$H$24,7)/100)</f>
        <v>5.3706444878745749E-2</v>
      </c>
      <c r="Q18" s="34">
        <f t="shared" ref="Q18:Q20" si="26">IF(L18="","",O18*VLOOKUP(K18,$B$9:$I$24,8)/100)</f>
        <v>6.9599168363272568E-2</v>
      </c>
      <c r="R18" s="14"/>
      <c r="S18" s="14"/>
      <c r="U18" s="2">
        <f t="shared" ref="U18:U25" si="27">IF(N18="","",(_xlfn.NORM.DIST(LN(L18),LN($V$5),LN($V$6),0))*$V$7+(_xlfn.NORM.DIST(LN(L18),LN($W$5),LN($W$6),0))*(1-$V$7))</f>
        <v>0.32574749895888039</v>
      </c>
    </row>
    <row r="19" spans="1:26" s="2" customFormat="1" ht="16.8" customHeight="1" x14ac:dyDescent="0.2">
      <c r="A19" s="1"/>
      <c r="B19" s="16">
        <v>11</v>
      </c>
      <c r="C19" s="64">
        <f t="shared" si="8"/>
        <v>7</v>
      </c>
      <c r="D19" s="65">
        <v>10</v>
      </c>
      <c r="E19" s="17">
        <f t="shared" ref="E19" si="28">IF(C19="","",SQRT(C19*D19))</f>
        <v>8.3666002653407556</v>
      </c>
      <c r="F19" s="17">
        <f t="shared" ref="F19" si="29">IF(C19="","",LN(D19/C19))</f>
        <v>0.35667494393873239</v>
      </c>
      <c r="G19" s="67">
        <v>100</v>
      </c>
      <c r="H19" s="67">
        <v>100</v>
      </c>
      <c r="I19" s="32">
        <f t="shared" ref="I19" si="30">IF(G19="","",AVERAGE(G19,H19))</f>
        <v>100</v>
      </c>
      <c r="K19" s="10">
        <f t="shared" si="20"/>
        <v>3</v>
      </c>
      <c r="L19" s="18">
        <f t="shared" si="21"/>
        <v>0.83666002653407556</v>
      </c>
      <c r="M19" s="18">
        <f t="shared" si="22"/>
        <v>0.35667494393873239</v>
      </c>
      <c r="N19" s="53">
        <f t="shared" ref="N19" si="31">IF(L19="","",($V$7*(1/(LN($V$6)*SQRT(2*PI())))*EXP(-(((LN(L19)-LN($V$5))^2)/(2*(LN($V$6)^2)))))+((1-$V$7)*(1/(LN($W$6)*SQRT(2*PI())))*EXP(-(((LN(L19)-LN($W$5))^2)/(2*(LN($W$6)^2))))))</f>
        <v>0.23153959070681357</v>
      </c>
      <c r="O19" s="34">
        <f t="shared" ref="O19" si="32">IF(L19="","",M19*N19)</f>
        <v>8.2584370534949769E-2</v>
      </c>
      <c r="P19" s="34">
        <f t="shared" si="25"/>
        <v>4.872477861562037E-2</v>
      </c>
      <c r="Q19" s="34">
        <f t="shared" si="26"/>
        <v>5.9997545193641012E-2</v>
      </c>
      <c r="R19" s="14"/>
      <c r="S19" s="14"/>
      <c r="T19" s="1"/>
      <c r="U19" s="2">
        <f t="shared" si="27"/>
        <v>0.23153959070681354</v>
      </c>
      <c r="V19" s="1"/>
      <c r="W19" s="1"/>
      <c r="X19" s="1"/>
      <c r="Y19" s="1"/>
      <c r="Z19" s="1"/>
    </row>
    <row r="20" spans="1:26" ht="16.8" customHeight="1" x14ac:dyDescent="0.2">
      <c r="B20" s="16">
        <v>12</v>
      </c>
      <c r="C20" s="64" t="str">
        <f t="shared" si="8"/>
        <v/>
      </c>
      <c r="D20" s="65"/>
      <c r="E20" s="17" t="str">
        <f t="shared" si="17"/>
        <v/>
      </c>
      <c r="F20" s="17" t="str">
        <f t="shared" si="18"/>
        <v/>
      </c>
      <c r="G20" s="67"/>
      <c r="H20" s="67"/>
      <c r="I20" s="32" t="str">
        <f t="shared" si="19"/>
        <v/>
      </c>
      <c r="K20" s="10">
        <f t="shared" si="20"/>
        <v>4</v>
      </c>
      <c r="L20" s="18">
        <f t="shared" si="21"/>
        <v>1.1401754250991381</v>
      </c>
      <c r="M20" s="18">
        <f t="shared" si="22"/>
        <v>0.26236426446749106</v>
      </c>
      <c r="N20" s="53">
        <f t="shared" si="23"/>
        <v>0.13101784023243482</v>
      </c>
      <c r="O20" s="34">
        <f t="shared" si="24"/>
        <v>3.4374399284702019E-2</v>
      </c>
      <c r="P20" s="34">
        <f t="shared" si="25"/>
        <v>2.3374591513597373E-2</v>
      </c>
      <c r="Q20" s="34">
        <f t="shared" si="26"/>
        <v>2.7499519427761614E-2</v>
      </c>
      <c r="R20" s="14"/>
      <c r="S20" s="14"/>
      <c r="U20" s="2">
        <f t="shared" si="27"/>
        <v>0.13101784023243479</v>
      </c>
    </row>
    <row r="21" spans="1:26" ht="16.8" customHeight="1" x14ac:dyDescent="0.2">
      <c r="B21" s="16">
        <v>13</v>
      </c>
      <c r="C21" s="64" t="str">
        <f t="shared" si="8"/>
        <v/>
      </c>
      <c r="D21" s="66"/>
      <c r="E21" s="17" t="str">
        <f t="shared" si="0"/>
        <v/>
      </c>
      <c r="F21" s="17" t="str">
        <f t="shared" si="1"/>
        <v/>
      </c>
      <c r="G21" s="67"/>
      <c r="H21" s="67"/>
      <c r="I21" s="32" t="str">
        <f t="shared" si="2"/>
        <v/>
      </c>
      <c r="K21" s="10">
        <f t="shared" si="20"/>
        <v>5</v>
      </c>
      <c r="L21" s="18">
        <f t="shared" si="21"/>
        <v>1.4422205101855958</v>
      </c>
      <c r="M21" s="18">
        <f t="shared" si="22"/>
        <v>0.20763936477824455</v>
      </c>
      <c r="N21" s="53">
        <f t="shared" ref="N21:N22" si="33">IF(L21="","",($V$7*(1/(LN($V$6)*SQRT(2*PI())))*EXP(-(((LN(L21)-LN($V$5))^2)/(2*(LN($V$6)^2)))))+((1-$V$7)*(1/(LN($W$6)*SQRT(2*PI())))*EXP(-(((LN(L21)-LN($W$5))^2)/(2*(LN($W$6)^2))))))</f>
        <v>8.7658743559242913E-2</v>
      </c>
      <c r="O21" s="35">
        <f t="shared" ref="O21:O22" si="34">IF(L21="","",M21*N21)</f>
        <v>1.8201405829900232E-2</v>
      </c>
      <c r="P21" s="34">
        <f>IF(L21="","",O21*VLOOKUP(K21,$B$9:$H$24,7)/100)</f>
        <v>1.3651054372425173E-2</v>
      </c>
      <c r="Q21" s="34">
        <f>IF(L21="","",O21*VLOOKUP(K21,$B$9:$I$24,8)/100)</f>
        <v>1.5471194955415197E-2</v>
      </c>
      <c r="R21" s="14"/>
      <c r="S21" s="14"/>
      <c r="T21" s="2"/>
      <c r="U21" s="2">
        <f>IF(N21="","",(_xlfn.NORM.DIST(LN(L21),LN($V$5),LN($V$6),0))*$V$7+(_xlfn.NORM.DIST(LN(L21),LN($W$5),LN($W$6),0))*(1-$V$7))</f>
        <v>8.7658743559242899E-2</v>
      </c>
    </row>
    <row r="22" spans="1:26" ht="16.8" customHeight="1" x14ac:dyDescent="0.2">
      <c r="B22" s="16">
        <v>14</v>
      </c>
      <c r="C22" s="64" t="str">
        <f t="shared" si="8"/>
        <v/>
      </c>
      <c r="D22" s="65"/>
      <c r="E22" s="17" t="str">
        <f t="shared" si="0"/>
        <v/>
      </c>
      <c r="F22" s="17" t="str">
        <f t="shared" si="1"/>
        <v/>
      </c>
      <c r="G22" s="67"/>
      <c r="H22" s="67"/>
      <c r="I22" s="32" t="str">
        <f t="shared" si="2"/>
        <v/>
      </c>
      <c r="K22" s="10">
        <f t="shared" si="20"/>
        <v>6</v>
      </c>
      <c r="L22" s="18">
        <f t="shared" si="21"/>
        <v>1.8761663039293719</v>
      </c>
      <c r="M22" s="18">
        <f t="shared" si="22"/>
        <v>0.31845373111853459</v>
      </c>
      <c r="N22" s="53">
        <f t="shared" si="33"/>
        <v>0.113093129132898</v>
      </c>
      <c r="O22" s="35">
        <f t="shared" si="34"/>
        <v>3.6014928936241607E-2</v>
      </c>
      <c r="P22" s="34">
        <f t="shared" ref="P22" si="35">IF(L22="","",O22*VLOOKUP(K22,$B$9:$H$24,7)/100)</f>
        <v>2.9892391017080536E-2</v>
      </c>
      <c r="Q22" s="34">
        <f t="shared" ref="Q22" si="36">IF(L22="","",O22*VLOOKUP(K22,$B$9:$I$24,8)/100)</f>
        <v>3.2395428578149324E-2</v>
      </c>
      <c r="R22" s="14"/>
      <c r="S22" s="14"/>
      <c r="U22" s="2">
        <f t="shared" si="27"/>
        <v>0.11309312913289798</v>
      </c>
    </row>
    <row r="23" spans="1:26" ht="16.8" customHeight="1" x14ac:dyDescent="0.2">
      <c r="B23" s="16">
        <v>15</v>
      </c>
      <c r="C23" s="64" t="str">
        <f t="shared" si="8"/>
        <v/>
      </c>
      <c r="D23" s="65"/>
      <c r="E23" s="17" t="str">
        <f t="shared" si="0"/>
        <v/>
      </c>
      <c r="F23" s="17" t="str">
        <f t="shared" si="1"/>
        <v/>
      </c>
      <c r="G23" s="67"/>
      <c r="H23" s="67"/>
      <c r="I23" s="32" t="str">
        <f t="shared" si="2"/>
        <v/>
      </c>
      <c r="K23" s="10">
        <f t="shared" ref="K23:K25" si="37">IF(AND(MAX($D$9:$D$24)&gt;=2.5,C15&lt;2.5),B15,"")</f>
        <v>7</v>
      </c>
      <c r="L23" s="18">
        <f t="shared" ref="L23:L25" si="38">IF(K23="","",VLOOKUP(K23,$B$9:$F$24,4))</f>
        <v>2.5690465157330258</v>
      </c>
      <c r="M23" s="18">
        <f t="shared" ref="M23:M25" si="39">IF(K23="","",VLOOKUP(K23,$B$9:$F$24,5))</f>
        <v>0.31015492830383945</v>
      </c>
      <c r="N23" s="53">
        <f t="shared" ref="N23:N25" si="40">IF(L23="","",($V$7*(1/(LN($V$6)*SQRT(2*PI())))*EXP(-(((LN(L23)-LN($V$5))^2)/(2*(LN($V$6)^2)))))+((1-$V$7)*(1/(LN($W$6)*SQRT(2*PI())))*EXP(-(((LN(L23)-LN($W$5))^2)/(2*(LN($W$6)^2))))))</f>
        <v>0.27804814053723292</v>
      </c>
      <c r="O23" s="35">
        <f t="shared" ref="O23:O25" si="41">IF(L23="","",M23*N23)</f>
        <v>8.6238001093341357E-2</v>
      </c>
      <c r="P23" s="34">
        <f t="shared" ref="P23:P25" si="42">IF(L23="","",O23*VLOOKUP(K23,$B$9:$H$24,7)/100)</f>
        <v>7.8476580994940634E-2</v>
      </c>
      <c r="Q23" s="34">
        <f t="shared" ref="Q23:Q25" si="43">IF(L23="","",O23*VLOOKUP(K23,$B$9:$I$24,8)/100)</f>
        <v>8.1667387035394265E-2</v>
      </c>
      <c r="R23" s="14"/>
      <c r="S23" s="14"/>
      <c r="U23" s="2">
        <f t="shared" ref="U23" si="44">IF(N23="","",(_xlfn.NORM.DIST(LN(L23),LN($V$5),LN($V$6),0))*$V$7+(_xlfn.NORM.DIST(LN(L23),LN($W$5),LN($W$6),0))*(1-$V$7))</f>
        <v>0.27804814053723287</v>
      </c>
    </row>
    <row r="24" spans="1:26" ht="16.8" customHeight="1" x14ac:dyDescent="0.2">
      <c r="B24" s="16">
        <v>16</v>
      </c>
      <c r="C24" s="64" t="str">
        <f t="shared" si="8"/>
        <v/>
      </c>
      <c r="D24" s="65"/>
      <c r="E24" s="17" t="str">
        <f t="shared" si="0"/>
        <v/>
      </c>
      <c r="F24" s="17" t="str">
        <f t="shared" si="1"/>
        <v/>
      </c>
      <c r="G24" s="67"/>
      <c r="H24" s="67"/>
      <c r="I24" s="32" t="str">
        <f t="shared" si="2"/>
        <v/>
      </c>
      <c r="K24" s="10" t="str">
        <f t="shared" si="37"/>
        <v/>
      </c>
      <c r="L24" s="18" t="str">
        <f t="shared" si="38"/>
        <v/>
      </c>
      <c r="M24" s="18" t="str">
        <f t="shared" si="39"/>
        <v/>
      </c>
      <c r="N24" s="53" t="str">
        <f t="shared" si="40"/>
        <v/>
      </c>
      <c r="O24" s="35" t="str">
        <f t="shared" si="41"/>
        <v/>
      </c>
      <c r="P24" s="34" t="str">
        <f t="shared" si="42"/>
        <v/>
      </c>
      <c r="Q24" s="34" t="str">
        <f t="shared" si="43"/>
        <v/>
      </c>
      <c r="R24" s="14"/>
      <c r="S24" s="14"/>
      <c r="U24" s="2" t="str">
        <f t="shared" si="27"/>
        <v/>
      </c>
    </row>
    <row r="25" spans="1:26" ht="17.25" customHeight="1" x14ac:dyDescent="0.2">
      <c r="B25" s="11"/>
      <c r="C25" s="11"/>
      <c r="D25" s="11"/>
      <c r="E25" s="11"/>
      <c r="F25" s="11"/>
      <c r="G25" s="11"/>
      <c r="H25" s="11"/>
      <c r="I25" s="11"/>
      <c r="K25" s="10" t="str">
        <f t="shared" si="37"/>
        <v/>
      </c>
      <c r="L25" s="18" t="str">
        <f t="shared" si="38"/>
        <v/>
      </c>
      <c r="M25" s="18" t="str">
        <f t="shared" si="39"/>
        <v/>
      </c>
      <c r="N25" s="53" t="str">
        <f t="shared" si="40"/>
        <v/>
      </c>
      <c r="O25" s="35" t="str">
        <f t="shared" si="41"/>
        <v/>
      </c>
      <c r="P25" s="34" t="str">
        <f t="shared" si="42"/>
        <v/>
      </c>
      <c r="Q25" s="34" t="str">
        <f t="shared" si="43"/>
        <v/>
      </c>
      <c r="R25" s="24" t="s">
        <v>77</v>
      </c>
      <c r="S25" s="24" t="s">
        <v>78</v>
      </c>
      <c r="U25" s="2" t="str">
        <f t="shared" si="27"/>
        <v/>
      </c>
    </row>
    <row r="26" spans="1:26" ht="17.25" customHeight="1" x14ac:dyDescent="0.2">
      <c r="B26" s="12" t="s">
        <v>3</v>
      </c>
      <c r="C26" s="26" t="s">
        <v>46</v>
      </c>
      <c r="D26" s="11"/>
      <c r="E26" s="11"/>
      <c r="F26" s="11"/>
      <c r="G26" s="11"/>
      <c r="H26" s="11"/>
      <c r="I26" s="11"/>
      <c r="K26" s="11"/>
      <c r="L26" s="11"/>
      <c r="M26" s="11"/>
      <c r="N26" s="51" t="s">
        <v>70</v>
      </c>
      <c r="O26" s="34">
        <f>SUM(O17:O25)</f>
        <v>0.5247543462046913</v>
      </c>
      <c r="P26" s="34">
        <f>SUM(P17:P25)</f>
        <v>0.30618825425393525</v>
      </c>
      <c r="Q26" s="35">
        <f>SUM(Q17:Q25)</f>
        <v>0.36786441280683824</v>
      </c>
      <c r="R26" s="33">
        <f>IF(P26="","",P26/O26*100)</f>
        <v>58.348874376830828</v>
      </c>
      <c r="S26" s="33">
        <f>IF(Q26="","",Q26/O26*100)</f>
        <v>70.102213629564702</v>
      </c>
    </row>
    <row r="27" spans="1:26" ht="17.25" customHeight="1" x14ac:dyDescent="0.2">
      <c r="B27" s="12" t="s">
        <v>23</v>
      </c>
      <c r="C27" s="26" t="s">
        <v>47</v>
      </c>
      <c r="D27" s="11"/>
      <c r="E27" s="11"/>
      <c r="F27" s="11"/>
      <c r="G27" s="11"/>
      <c r="H27" s="11"/>
      <c r="I27" s="11"/>
      <c r="K27" s="6"/>
      <c r="L27" s="6"/>
      <c r="M27" s="6"/>
      <c r="N27" s="52"/>
      <c r="O27" s="15"/>
      <c r="P27" s="15"/>
      <c r="Q27" s="15"/>
      <c r="R27" s="15"/>
      <c r="S27" s="15"/>
    </row>
    <row r="28" spans="1:26" ht="17.25" customHeight="1" x14ac:dyDescent="0.35">
      <c r="B28" s="12" t="s" ph="1">
        <v>2</v>
      </c>
      <c r="C28" s="26" t="s">
        <v>48</v>
      </c>
      <c r="D28" s="11"/>
      <c r="E28" s="11"/>
      <c r="F28" s="11"/>
      <c r="G28" s="11"/>
      <c r="H28" s="11"/>
      <c r="I28" s="11"/>
      <c r="K28" s="83" t="s">
        <v>1</v>
      </c>
      <c r="L28" s="22" t="s" ph="1">
        <v>8</v>
      </c>
      <c r="M28" s="23" t="s">
        <v>38</v>
      </c>
      <c r="N28" s="49" t="s" ph="1">
        <v>26</v>
      </c>
      <c r="O28" s="22" t="s" ph="1">
        <v>26</v>
      </c>
      <c r="P28" s="85" ph="1"/>
      <c r="Q28" s="22" t="s" ph="1">
        <v>28</v>
      </c>
      <c r="R28" s="85" ph="1"/>
      <c r="S28" s="23" t="s">
        <v>74</v>
      </c>
    </row>
    <row r="29" spans="1:26" ht="17.25" customHeight="1" x14ac:dyDescent="0.2">
      <c r="B29" s="13" t="s">
        <v>4</v>
      </c>
      <c r="C29" s="26" t="s">
        <v>49</v>
      </c>
      <c r="D29" s="11"/>
      <c r="E29" s="11"/>
      <c r="F29" s="11"/>
      <c r="G29" s="11"/>
      <c r="H29" s="11"/>
      <c r="I29" s="11"/>
      <c r="K29" s="84"/>
      <c r="L29" s="24" t="s">
        <v>39</v>
      </c>
      <c r="M29" s="24" t="s">
        <v>40</v>
      </c>
      <c r="N29" s="50" t="s">
        <v>40</v>
      </c>
      <c r="O29" s="38" t="s">
        <v>10</v>
      </c>
      <c r="P29" s="86"/>
      <c r="Q29" s="40" t="s">
        <v>10</v>
      </c>
      <c r="R29" s="86"/>
      <c r="S29" s="24" t="s">
        <v>34</v>
      </c>
    </row>
    <row r="30" spans="1:26" ht="17.25" customHeight="1" x14ac:dyDescent="0.2">
      <c r="B30" s="13"/>
      <c r="C30" s="26" t="s">
        <v>35</v>
      </c>
      <c r="D30" s="11"/>
      <c r="E30" s="11"/>
      <c r="F30" s="11"/>
      <c r="G30" s="11"/>
      <c r="H30" s="11"/>
      <c r="I30" s="11"/>
      <c r="K30" s="10">
        <f t="shared" ref="K30:K36" si="45">IF(AND(MAX($D$9:$D$24)&gt;=10,C9&lt;10),B9,"")</f>
        <v>1</v>
      </c>
      <c r="L30" s="18">
        <f t="shared" ref="L30:L36" si="46">IF(K30="","",VLOOKUP(K30,$B$9:$F$24,4))</f>
        <v>0.3872983346207417</v>
      </c>
      <c r="M30" s="18">
        <f t="shared" ref="M30:M36" si="47">IF(K30="","",VLOOKUP(K30,$B$9:$F$24,5))</f>
        <v>0.51082562376599072</v>
      </c>
      <c r="N30" s="53">
        <f t="shared" ref="N30:N36" si="48">IF(L30="","",($V$7*(1/(LN($V$6)*SQRT(2*PI())))*EXP(-(((LN(L30)-LN($V$5))^2)/(2*(LN($V$6)^2)))))+((1-$V$7)*(1/(LN($W$6)*SQRT(2*PI())))*EXP(-(((LN(L30)-LN($W$5))^2)/(2*(LN($W$6)^2))))))</f>
        <v>0.30878688076413846</v>
      </c>
      <c r="O30" s="36">
        <f>IF(L30="","",M30*N30)</f>
        <v>0.15773625097709562</v>
      </c>
      <c r="P30" s="36"/>
      <c r="Q30" s="34">
        <f>IF(L30="","",O30*VLOOKUP(K30,$B$9:$I$24,8)/100)</f>
        <v>8.1234169253204258E-2</v>
      </c>
      <c r="R30" s="23"/>
      <c r="S30" s="23"/>
      <c r="U30" s="2">
        <f>IF(N30="","",(_xlfn.NORM.DIST(LN(L30),LN($V$5),LN($V$6),0))*$V$7+(_xlfn.NORM.DIST(LN(L30),LN($W$5),LN($W$6),0))*(1-$V$7))</f>
        <v>0.30878688076413841</v>
      </c>
    </row>
    <row r="31" spans="1:26" ht="17.25" customHeight="1" x14ac:dyDescent="0.2">
      <c r="B31" s="12" t="s">
        <v>5</v>
      </c>
      <c r="C31" s="26" t="s">
        <v>50</v>
      </c>
      <c r="D31" s="11"/>
      <c r="E31" s="11"/>
      <c r="F31" s="11"/>
      <c r="G31" s="11"/>
      <c r="H31" s="11"/>
      <c r="I31" s="11"/>
      <c r="K31" s="10">
        <f t="shared" si="45"/>
        <v>2</v>
      </c>
      <c r="L31" s="18">
        <f t="shared" si="46"/>
        <v>0.59160797830996159</v>
      </c>
      <c r="M31" s="18">
        <f t="shared" si="47"/>
        <v>0.33647223662121289</v>
      </c>
      <c r="N31" s="53">
        <f t="shared" si="48"/>
        <v>0.32574749895888044</v>
      </c>
      <c r="O31" s="36">
        <f t="shared" ref="O31:O36" si="49">IF(L31="","",M31*N31)</f>
        <v>0.10960498954846072</v>
      </c>
      <c r="P31" s="36"/>
      <c r="Q31" s="34">
        <f t="shared" ref="Q31:Q36" si="50">IF(L31="","",O31*VLOOKUP(K31,$B$9:$I$24,8)/100)</f>
        <v>6.9599168363272568E-2</v>
      </c>
      <c r="R31" s="25"/>
      <c r="S31" s="25"/>
      <c r="U31" s="2">
        <f t="shared" ref="U31:U45" si="51">IF(N31="","",(_xlfn.NORM.DIST(LN(L31),LN($V$5),LN($V$6),0))*$V$7+(_xlfn.NORM.DIST(LN(L31),LN($W$5),LN($W$6),0))*(1-$V$7))</f>
        <v>0.32574749895888039</v>
      </c>
    </row>
    <row r="32" spans="1:26" ht="17.25" customHeight="1" x14ac:dyDescent="0.2">
      <c r="B32" s="12" t="s">
        <v>24</v>
      </c>
      <c r="C32" s="26" t="s">
        <v>51</v>
      </c>
      <c r="D32" s="11"/>
      <c r="E32" s="11"/>
      <c r="F32" s="11"/>
      <c r="G32" s="11"/>
      <c r="H32" s="11"/>
      <c r="I32" s="11"/>
      <c r="K32" s="10">
        <f t="shared" si="45"/>
        <v>3</v>
      </c>
      <c r="L32" s="18">
        <f t="shared" si="46"/>
        <v>0.83666002653407556</v>
      </c>
      <c r="M32" s="18">
        <f t="shared" si="47"/>
        <v>0.35667494393873239</v>
      </c>
      <c r="N32" s="53">
        <f t="shared" si="48"/>
        <v>0.23153959070681357</v>
      </c>
      <c r="O32" s="37">
        <f t="shared" si="49"/>
        <v>8.2584370534949769E-2</v>
      </c>
      <c r="P32" s="36"/>
      <c r="Q32" s="34">
        <f t="shared" si="50"/>
        <v>5.9997545193641012E-2</v>
      </c>
      <c r="R32" s="25"/>
      <c r="S32" s="25"/>
      <c r="U32" s="2">
        <f t="shared" si="51"/>
        <v>0.23153959070681354</v>
      </c>
    </row>
    <row r="33" spans="2:21" ht="17.25" customHeight="1" x14ac:dyDescent="0.2">
      <c r="B33" s="12" t="s">
        <v>25</v>
      </c>
      <c r="C33" s="26" t="s">
        <v>52</v>
      </c>
      <c r="D33" s="11"/>
      <c r="E33" s="11"/>
      <c r="F33" s="11"/>
      <c r="G33" s="11"/>
      <c r="H33" s="11"/>
      <c r="I33" s="11"/>
      <c r="K33" s="10">
        <f t="shared" si="45"/>
        <v>4</v>
      </c>
      <c r="L33" s="18">
        <f t="shared" si="46"/>
        <v>1.1401754250991381</v>
      </c>
      <c r="M33" s="18">
        <f t="shared" si="47"/>
        <v>0.26236426446749106</v>
      </c>
      <c r="N33" s="53">
        <f t="shared" si="48"/>
        <v>0.13101784023243482</v>
      </c>
      <c r="O33" s="37">
        <f t="shared" si="49"/>
        <v>3.4374399284702019E-2</v>
      </c>
      <c r="P33" s="36"/>
      <c r="Q33" s="34">
        <f t="shared" si="50"/>
        <v>2.7499519427761614E-2</v>
      </c>
      <c r="R33" s="25"/>
      <c r="S33" s="25"/>
      <c r="U33" s="2">
        <f t="shared" si="51"/>
        <v>0.13101784023243479</v>
      </c>
    </row>
    <row r="34" spans="2:21" ht="17.25" customHeight="1" x14ac:dyDescent="0.2">
      <c r="B34" s="11"/>
      <c r="C34" s="11"/>
      <c r="D34" s="11"/>
      <c r="E34" s="11"/>
      <c r="F34" s="11"/>
      <c r="G34" s="11"/>
      <c r="H34" s="11"/>
      <c r="I34" s="11"/>
      <c r="K34" s="10">
        <f t="shared" si="45"/>
        <v>5</v>
      </c>
      <c r="L34" s="18">
        <f t="shared" si="46"/>
        <v>1.4422205101855958</v>
      </c>
      <c r="M34" s="18">
        <f t="shared" si="47"/>
        <v>0.20763936477824455</v>
      </c>
      <c r="N34" s="53">
        <f t="shared" si="48"/>
        <v>8.7658743559242913E-2</v>
      </c>
      <c r="O34" s="37">
        <f t="shared" si="49"/>
        <v>1.8201405829900232E-2</v>
      </c>
      <c r="P34" s="36"/>
      <c r="Q34" s="34">
        <f t="shared" si="50"/>
        <v>1.5471194955415197E-2</v>
      </c>
      <c r="R34" s="25"/>
      <c r="S34" s="25"/>
      <c r="U34" s="2">
        <f>IF(N34="","",(_xlfn.NORM.DIST(LN(L34),LN($V$5),LN($V$6),0))*$V$7+(_xlfn.NORM.DIST(LN(L34),LN($W$5),LN($W$6),0))*(1-$V$7))</f>
        <v>8.7658743559242899E-2</v>
      </c>
    </row>
    <row r="35" spans="2:21" ht="17.25" customHeight="1" x14ac:dyDescent="0.2">
      <c r="K35" s="10">
        <f t="shared" si="45"/>
        <v>6</v>
      </c>
      <c r="L35" s="18">
        <f t="shared" si="46"/>
        <v>1.8761663039293719</v>
      </c>
      <c r="M35" s="18">
        <f t="shared" si="47"/>
        <v>0.31845373111853459</v>
      </c>
      <c r="N35" s="53">
        <f t="shared" si="48"/>
        <v>0.113093129132898</v>
      </c>
      <c r="O35" s="36">
        <f t="shared" si="49"/>
        <v>3.6014928936241607E-2</v>
      </c>
      <c r="P35" s="36"/>
      <c r="Q35" s="34">
        <f t="shared" si="50"/>
        <v>3.2395428578149324E-2</v>
      </c>
      <c r="R35" s="25"/>
      <c r="S35" s="25"/>
      <c r="U35" s="2">
        <f t="shared" si="51"/>
        <v>0.11309312913289798</v>
      </c>
    </row>
    <row r="36" spans="2:21" ht="17.25" customHeight="1" x14ac:dyDescent="0.2">
      <c r="K36" s="10">
        <f t="shared" si="45"/>
        <v>7</v>
      </c>
      <c r="L36" s="18">
        <f t="shared" si="46"/>
        <v>2.5690465157330258</v>
      </c>
      <c r="M36" s="18">
        <f t="shared" si="47"/>
        <v>0.31015492830383945</v>
      </c>
      <c r="N36" s="53">
        <f t="shared" si="48"/>
        <v>0.27804814053723292</v>
      </c>
      <c r="O36" s="36">
        <f t="shared" si="49"/>
        <v>8.6238001093341357E-2</v>
      </c>
      <c r="P36" s="36"/>
      <c r="Q36" s="34">
        <f t="shared" si="50"/>
        <v>8.1667387035394265E-2</v>
      </c>
      <c r="R36" s="25"/>
      <c r="S36" s="25"/>
      <c r="U36" s="2">
        <f t="shared" si="51"/>
        <v>0.27804814053723287</v>
      </c>
    </row>
    <row r="37" spans="2:21" ht="17.25" customHeight="1" x14ac:dyDescent="0.2">
      <c r="K37" s="10">
        <f t="shared" ref="K37:K45" si="52">IF(AND(MAX($D$9:$D$24)&gt;=10,C16&lt;10),B16,"")</f>
        <v>8</v>
      </c>
      <c r="L37" s="18">
        <f t="shared" ref="L37:L45" si="53">IF(K37="","",VLOOKUP(K37,$B$9:$F$24,4))</f>
        <v>3.4641016151377544</v>
      </c>
      <c r="M37" s="18">
        <f t="shared" ref="M37:M45" si="54">IF(K37="","",VLOOKUP(K37,$B$9:$F$24,5))</f>
        <v>0.28768207245178085</v>
      </c>
      <c r="N37" s="53">
        <f t="shared" ref="N37:N45" si="55">IF(L37="","",($V$7*(1/(LN($V$6)*SQRT(2*PI())))*EXP(-(((LN(L37)-LN($V$5))^2)/(2*(LN($V$6)^2)))))+((1-$V$7)*(1/(LN($W$6)*SQRT(2*PI())))*EXP(-(((LN(L37)-LN($W$5))^2)/(2*(LN($W$6)^2))))))</f>
        <v>0.4634528471688496</v>
      </c>
      <c r="O37" s="36">
        <f t="shared" ref="O37:O45" si="56">IF(L37="","",M37*N37)</f>
        <v>0.1333270755572131</v>
      </c>
      <c r="P37" s="36"/>
      <c r="Q37" s="34">
        <f t="shared" ref="Q37:Q45" si="57">IF(L37="","",O37*VLOOKUP(K37,$B$9:$I$24,8)/100)</f>
        <v>0.13079386112162605</v>
      </c>
      <c r="R37" s="25"/>
      <c r="S37" s="25"/>
      <c r="U37" s="2">
        <f t="shared" ref="U37" si="58">IF(N37="","",(_xlfn.NORM.DIST(LN(L37),LN($V$5),LN($V$6),0))*$V$7+(_xlfn.NORM.DIST(LN(L37),LN($W$5),LN($W$6),0))*(1-$V$7))</f>
        <v>0.46345284716884949</v>
      </c>
    </row>
    <row r="38" spans="2:21" ht="17.25" customHeight="1" x14ac:dyDescent="0.2">
      <c r="K38" s="10">
        <f t="shared" si="52"/>
        <v>9</v>
      </c>
      <c r="L38" s="18">
        <f t="shared" si="53"/>
        <v>4.6904157598234297</v>
      </c>
      <c r="M38" s="18">
        <f t="shared" si="54"/>
        <v>0.31845373111853459</v>
      </c>
      <c r="N38" s="53">
        <f t="shared" si="55"/>
        <v>0.45568882825136614</v>
      </c>
      <c r="O38" s="36">
        <f t="shared" si="56"/>
        <v>0.14511580758568063</v>
      </c>
      <c r="P38" s="36"/>
      <c r="Q38" s="34">
        <f t="shared" si="57"/>
        <v>0.14409999693258085</v>
      </c>
      <c r="R38" s="25"/>
      <c r="S38" s="25"/>
      <c r="U38" s="2">
        <f>IF(N38="","",(_xlfn.NORM.DIST(LN(L38),LN($V$5),LN($V$6),0))*$V$7+(_xlfn.NORM.DIST(LN(L38),LN($W$5),LN($W$6),0))*(1-$V$7))</f>
        <v>0.45568882825136608</v>
      </c>
    </row>
    <row r="39" spans="2:21" ht="17.25" customHeight="1" x14ac:dyDescent="0.2">
      <c r="K39" s="10">
        <f t="shared" si="52"/>
        <v>10</v>
      </c>
      <c r="L39" s="18">
        <f t="shared" si="53"/>
        <v>6.2048368229954285</v>
      </c>
      <c r="M39" s="18">
        <f t="shared" si="54"/>
        <v>0.24116205681688804</v>
      </c>
      <c r="N39" s="53">
        <f t="shared" si="55"/>
        <v>0.27377254097615666</v>
      </c>
      <c r="O39" s="36">
        <f t="shared" si="56"/>
        <v>6.602354908179571E-2</v>
      </c>
      <c r="P39" s="36"/>
      <c r="Q39" s="34">
        <f t="shared" si="57"/>
        <v>6.602354908179571E-2</v>
      </c>
      <c r="R39" s="25"/>
      <c r="S39" s="25"/>
      <c r="U39" s="2">
        <f t="shared" ref="U39:U40" si="59">IF(N39="","",(_xlfn.NORM.DIST(LN(L39),LN($V$5),LN($V$6),0))*$V$7+(_xlfn.NORM.DIST(LN(L39),LN($W$5),LN($W$6),0))*(1-$V$7))</f>
        <v>0.27377254097615666</v>
      </c>
    </row>
    <row r="40" spans="2:21" ht="17.25" customHeight="1" x14ac:dyDescent="0.2">
      <c r="K40" s="10">
        <f t="shared" si="52"/>
        <v>11</v>
      </c>
      <c r="L40" s="18">
        <f t="shared" si="53"/>
        <v>8.3666002653407556</v>
      </c>
      <c r="M40" s="18">
        <f t="shared" si="54"/>
        <v>0.35667494393873239</v>
      </c>
      <c r="N40" s="53">
        <f t="shared" si="55"/>
        <v>9.3896840294827602E-2</v>
      </c>
      <c r="O40" s="36">
        <f t="shared" si="56"/>
        <v>3.3490650248181743E-2</v>
      </c>
      <c r="P40" s="36"/>
      <c r="Q40" s="34">
        <f t="shared" si="57"/>
        <v>3.3490650248181743E-2</v>
      </c>
      <c r="R40" s="25"/>
      <c r="S40" s="25"/>
      <c r="U40" s="2">
        <f t="shared" si="59"/>
        <v>9.3896840294827602E-2</v>
      </c>
    </row>
    <row r="41" spans="2:21" ht="17.25" customHeight="1" x14ac:dyDescent="0.2">
      <c r="K41" s="10" t="str">
        <f t="shared" si="52"/>
        <v/>
      </c>
      <c r="L41" s="18" t="str">
        <f t="shared" si="53"/>
        <v/>
      </c>
      <c r="M41" s="18" t="str">
        <f t="shared" si="54"/>
        <v/>
      </c>
      <c r="N41" s="53" t="str">
        <f t="shared" si="55"/>
        <v/>
      </c>
      <c r="O41" s="36" t="str">
        <f t="shared" si="56"/>
        <v/>
      </c>
      <c r="P41" s="36"/>
      <c r="Q41" s="34" t="str">
        <f t="shared" si="57"/>
        <v/>
      </c>
      <c r="R41" s="25"/>
      <c r="S41" s="25"/>
      <c r="U41" s="2" t="str">
        <f t="shared" si="51"/>
        <v/>
      </c>
    </row>
    <row r="42" spans="2:21" ht="17.25" customHeight="1" x14ac:dyDescent="0.2">
      <c r="K42" s="10" t="str">
        <f t="shared" si="52"/>
        <v/>
      </c>
      <c r="L42" s="18" t="str">
        <f t="shared" si="53"/>
        <v/>
      </c>
      <c r="M42" s="18" t="str">
        <f t="shared" si="54"/>
        <v/>
      </c>
      <c r="N42" s="53" t="str">
        <f t="shared" si="55"/>
        <v/>
      </c>
      <c r="O42" s="36" t="str">
        <f t="shared" si="56"/>
        <v/>
      </c>
      <c r="P42" s="36"/>
      <c r="Q42" s="34" t="str">
        <f t="shared" si="57"/>
        <v/>
      </c>
      <c r="R42" s="25"/>
      <c r="S42" s="25"/>
      <c r="U42" s="2" t="str">
        <f>IF(N42="","",(_xlfn.NORM.DIST(LN(L42),LN($V$5),LN($V$6),0))*$V$7+(_xlfn.NORM.DIST(LN(L42),LN($W$5),LN($W$6),0))*(1-$V$7))</f>
        <v/>
      </c>
    </row>
    <row r="43" spans="2:21" ht="17.25" customHeight="1" x14ac:dyDescent="0.2">
      <c r="K43" s="10" t="str">
        <f t="shared" si="52"/>
        <v/>
      </c>
      <c r="L43" s="18" t="str">
        <f t="shared" si="53"/>
        <v/>
      </c>
      <c r="M43" s="18" t="str">
        <f t="shared" si="54"/>
        <v/>
      </c>
      <c r="N43" s="53" t="str">
        <f t="shared" si="55"/>
        <v/>
      </c>
      <c r="O43" s="36" t="str">
        <f t="shared" si="56"/>
        <v/>
      </c>
      <c r="P43" s="36"/>
      <c r="Q43" s="34" t="str">
        <f t="shared" si="57"/>
        <v/>
      </c>
      <c r="R43" s="25"/>
      <c r="S43" s="25"/>
      <c r="U43" s="2" t="str">
        <f t="shared" si="51"/>
        <v/>
      </c>
    </row>
    <row r="44" spans="2:21" ht="17.25" customHeight="1" x14ac:dyDescent="0.2">
      <c r="K44" s="10" t="str">
        <f t="shared" si="52"/>
        <v/>
      </c>
      <c r="L44" s="18" t="str">
        <f t="shared" si="53"/>
        <v/>
      </c>
      <c r="M44" s="18" t="str">
        <f t="shared" si="54"/>
        <v/>
      </c>
      <c r="N44" s="53" t="str">
        <f t="shared" si="55"/>
        <v/>
      </c>
      <c r="O44" s="36" t="str">
        <f t="shared" si="56"/>
        <v/>
      </c>
      <c r="P44" s="36"/>
      <c r="Q44" s="34" t="str">
        <f t="shared" si="57"/>
        <v/>
      </c>
      <c r="R44" s="25"/>
      <c r="S44" s="25"/>
      <c r="U44" s="2" t="str">
        <f t="shared" si="51"/>
        <v/>
      </c>
    </row>
    <row r="45" spans="2:21" ht="17.25" customHeight="1" x14ac:dyDescent="0.2">
      <c r="K45" s="10" t="str">
        <f t="shared" si="52"/>
        <v/>
      </c>
      <c r="L45" s="18" t="str">
        <f t="shared" si="53"/>
        <v/>
      </c>
      <c r="M45" s="18" t="str">
        <f t="shared" si="54"/>
        <v/>
      </c>
      <c r="N45" s="53" t="str">
        <f t="shared" si="55"/>
        <v/>
      </c>
      <c r="O45" s="36" t="str">
        <f t="shared" si="56"/>
        <v/>
      </c>
      <c r="P45" s="36"/>
      <c r="Q45" s="34" t="str">
        <f t="shared" si="57"/>
        <v/>
      </c>
      <c r="R45" s="24"/>
      <c r="S45" s="24" t="s">
        <v>79</v>
      </c>
      <c r="U45" s="2" t="str">
        <f t="shared" si="51"/>
        <v/>
      </c>
    </row>
    <row r="46" spans="2:21" ht="17.25" customHeight="1" x14ac:dyDescent="0.2">
      <c r="K46" s="26"/>
      <c r="L46" s="26"/>
      <c r="M46" s="26"/>
      <c r="N46" s="51" t="s">
        <v>71</v>
      </c>
      <c r="O46" s="36">
        <f>IF(O30="","",SUM(O30:O45))</f>
        <v>0.9027114286775626</v>
      </c>
      <c r="P46" s="36"/>
      <c r="Q46" s="36">
        <f>IF(Q30="","",SUM(Q30:Q45))</f>
        <v>0.7422724701910226</v>
      </c>
      <c r="R46" s="27" t="str">
        <f>IF(P46="","",P46/O46)</f>
        <v/>
      </c>
      <c r="S46" s="32">
        <f>IF(Q46="","",Q46/O46*100)</f>
        <v>82.226993766814616</v>
      </c>
    </row>
    <row r="48" spans="2:21" ht="17.25" customHeight="1" x14ac:dyDescent="0.2">
      <c r="Q48" s="44" t="s">
        <v>80</v>
      </c>
      <c r="R48" s="45"/>
      <c r="S48" s="46" t="str">
        <f>IF(OR(R15="",R15&lt;50),"分類外",(FLOOR(S15,5)))</f>
        <v>分類外</v>
      </c>
    </row>
    <row r="49" spans="17:19" ht="17.25" customHeight="1" x14ac:dyDescent="0.2">
      <c r="Q49" s="44" t="s">
        <v>81</v>
      </c>
      <c r="R49" s="45"/>
      <c r="S49" s="46">
        <f>IF(OR(R26="",R26&lt;50),"分類外",(FLOOR(S26,5)))</f>
        <v>70</v>
      </c>
    </row>
    <row r="50" spans="17:19" ht="17.25" customHeight="1" x14ac:dyDescent="0.2">
      <c r="Q50" s="44" t="s">
        <v>82</v>
      </c>
      <c r="R50" s="45"/>
      <c r="S50" s="46">
        <f>IF(OR(S46="",S46&lt;50),"分類外",(FLOOR(S46,5)))</f>
        <v>80</v>
      </c>
    </row>
  </sheetData>
  <sheetProtection sheet="1" objects="1" scenarios="1"/>
  <mergeCells count="25">
    <mergeCell ref="B7:B8"/>
    <mergeCell ref="C3:E3"/>
    <mergeCell ref="G3:I3"/>
    <mergeCell ref="C4:E4"/>
    <mergeCell ref="G4:I4"/>
    <mergeCell ref="C5:E5"/>
    <mergeCell ref="G5:I5"/>
    <mergeCell ref="K7:K8"/>
    <mergeCell ref="K28:K29"/>
    <mergeCell ref="P28:P29"/>
    <mergeCell ref="R28:R29"/>
    <mergeCell ref="C6:D6"/>
    <mergeCell ref="G6:I6"/>
    <mergeCell ref="K5:L5"/>
    <mergeCell ref="M5:O5"/>
    <mergeCell ref="Q5:S5"/>
    <mergeCell ref="K6:L6"/>
    <mergeCell ref="M6:N6"/>
    <mergeCell ref="Q6:S6"/>
    <mergeCell ref="K3:L3"/>
    <mergeCell ref="M3:O3"/>
    <mergeCell ref="Q3:S3"/>
    <mergeCell ref="K4:L4"/>
    <mergeCell ref="M4:O4"/>
    <mergeCell ref="Q4:S4"/>
  </mergeCells>
  <phoneticPr fontId="2"/>
  <pageMargins left="0.78740157480314965" right="0.59055118110236227" top="0.78740157480314965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abSelected="1" topLeftCell="A34" zoomScaleNormal="100" workbookViewId="0">
      <selection activeCell="N38" sqref="N38"/>
    </sheetView>
  </sheetViews>
  <sheetFormatPr defaultColWidth="9" defaultRowHeight="17.25" customHeight="1" x14ac:dyDescent="0.2"/>
  <cols>
    <col min="1" max="1" width="3.6640625" style="1" customWidth="1"/>
    <col min="2" max="5" width="10.109375" style="1" customWidth="1"/>
    <col min="6" max="6" width="14.109375" style="1" bestFit="1" customWidth="1"/>
    <col min="7" max="9" width="10.109375" style="1" customWidth="1"/>
    <col min="10" max="10" width="3.6640625" style="1" customWidth="1"/>
    <col min="11" max="11" width="5.6640625" style="1" customWidth="1"/>
    <col min="12" max="13" width="8.6640625" style="1" customWidth="1"/>
    <col min="14" max="14" width="9.6640625" style="47" customWidth="1"/>
    <col min="15" max="15" width="9.6640625" style="1" customWidth="1"/>
    <col min="16" max="16" width="14.109375" style="1" bestFit="1" customWidth="1"/>
    <col min="17" max="17" width="12.109375" style="1" bestFit="1" customWidth="1"/>
    <col min="18" max="19" width="9.6640625" style="1" customWidth="1"/>
    <col min="20" max="16384" width="9" style="1"/>
  </cols>
  <sheetData>
    <row r="1" spans="2:26" ht="17.25" customHeight="1" x14ac:dyDescent="0.2">
      <c r="U1" s="1" t="s">
        <v>60</v>
      </c>
    </row>
    <row r="2" spans="2:26" ht="17.25" customHeight="1" x14ac:dyDescent="0.2">
      <c r="B2" s="31" t="s">
        <v>65</v>
      </c>
      <c r="C2" s="21"/>
      <c r="D2" s="21"/>
      <c r="E2" s="21"/>
      <c r="F2" s="5"/>
      <c r="G2" s="3"/>
      <c r="H2" s="3"/>
      <c r="I2" s="4"/>
      <c r="K2" s="31" t="s">
        <v>66</v>
      </c>
      <c r="L2" s="54"/>
      <c r="M2" s="54"/>
      <c r="N2" s="48"/>
      <c r="O2" s="54"/>
      <c r="P2" s="30"/>
      <c r="Q2" s="28"/>
      <c r="R2" s="28"/>
      <c r="S2" s="29"/>
      <c r="U2" s="1" t="s">
        <v>61</v>
      </c>
    </row>
    <row r="3" spans="2:26" ht="17.25" customHeight="1" x14ac:dyDescent="0.2">
      <c r="B3" s="69" t="s">
        <v>11</v>
      </c>
      <c r="C3" s="78"/>
      <c r="D3" s="78"/>
      <c r="E3" s="79"/>
      <c r="F3" s="70" t="s">
        <v>0</v>
      </c>
      <c r="G3" s="92"/>
      <c r="H3" s="92"/>
      <c r="I3" s="93"/>
      <c r="K3" s="72" t="s">
        <v>11</v>
      </c>
      <c r="L3" s="73"/>
      <c r="M3" s="74"/>
      <c r="N3" s="74"/>
      <c r="O3" s="75"/>
      <c r="P3" s="69" t="s">
        <v>12</v>
      </c>
      <c r="Q3" s="73"/>
      <c r="R3" s="73"/>
      <c r="S3" s="76"/>
    </row>
    <row r="4" spans="2:26" ht="17.25" customHeight="1" x14ac:dyDescent="0.2">
      <c r="B4" s="69" t="s">
        <v>14</v>
      </c>
      <c r="C4" s="77" t="s">
        <v>62</v>
      </c>
      <c r="D4" s="78"/>
      <c r="E4" s="79"/>
      <c r="F4" s="71" t="s">
        <v>29</v>
      </c>
      <c r="G4" s="92"/>
      <c r="H4" s="92"/>
      <c r="I4" s="93"/>
      <c r="K4" s="72" t="s">
        <v>14</v>
      </c>
      <c r="L4" s="73"/>
      <c r="M4" s="77" t="s">
        <v>62</v>
      </c>
      <c r="N4" s="78"/>
      <c r="O4" s="79"/>
      <c r="P4" s="71" t="s">
        <v>29</v>
      </c>
      <c r="Q4" s="73"/>
      <c r="R4" s="73"/>
      <c r="S4" s="76"/>
      <c r="U4" s="43" t="s">
        <v>63</v>
      </c>
      <c r="V4" s="43" t="s">
        <v>7</v>
      </c>
      <c r="W4" s="43" t="s">
        <v>59</v>
      </c>
    </row>
    <row r="5" spans="2:26" ht="17.25" customHeight="1" x14ac:dyDescent="0.2">
      <c r="B5" s="71" t="s">
        <v>18</v>
      </c>
      <c r="C5" s="74"/>
      <c r="D5" s="74"/>
      <c r="E5" s="75"/>
      <c r="F5" s="69" t="s">
        <v>15</v>
      </c>
      <c r="G5" s="92"/>
      <c r="H5" s="92"/>
      <c r="I5" s="93"/>
      <c r="K5" s="80" t="s">
        <v>18</v>
      </c>
      <c r="L5" s="73"/>
      <c r="M5" s="74"/>
      <c r="N5" s="74"/>
      <c r="O5" s="75"/>
      <c r="P5" s="69" t="s">
        <v>15</v>
      </c>
      <c r="Q5" s="73"/>
      <c r="R5" s="73"/>
      <c r="S5" s="76"/>
      <c r="U5" s="43" t="s">
        <v>57</v>
      </c>
      <c r="V5" s="43">
        <v>0.3</v>
      </c>
      <c r="W5" s="43">
        <v>10</v>
      </c>
    </row>
    <row r="6" spans="2:26" ht="17.25" customHeight="1" x14ac:dyDescent="0.2">
      <c r="B6" s="69" t="s">
        <v>16</v>
      </c>
      <c r="C6" s="87"/>
      <c r="D6" s="87"/>
      <c r="E6" s="68" t="s">
        <v>17</v>
      </c>
      <c r="F6" s="69" t="s">
        <v>13</v>
      </c>
      <c r="G6" s="88"/>
      <c r="H6" s="88"/>
      <c r="I6" s="89"/>
      <c r="K6" s="72" t="s">
        <v>16</v>
      </c>
      <c r="L6" s="73"/>
      <c r="M6" s="81"/>
      <c r="N6" s="81"/>
      <c r="O6" s="68" t="s">
        <v>17</v>
      </c>
      <c r="P6" s="69" t="s">
        <v>13</v>
      </c>
      <c r="Q6" s="81"/>
      <c r="R6" s="81"/>
      <c r="S6" s="82"/>
      <c r="U6" s="43" t="s">
        <v>58</v>
      </c>
      <c r="V6" s="43">
        <v>2.2000000000000002</v>
      </c>
      <c r="W6" s="43">
        <v>3.1</v>
      </c>
    </row>
    <row r="7" spans="2:26" ht="23.4" x14ac:dyDescent="0.35">
      <c r="B7" s="90" t="s">
        <v>1</v>
      </c>
      <c r="C7" s="58" t="s">
        <v>3</v>
      </c>
      <c r="D7" s="58" t="s">
        <v>20</v>
      </c>
      <c r="E7" s="7" t="s" ph="1">
        <v>2</v>
      </c>
      <c r="F7" s="8" t="s">
        <v>4</v>
      </c>
      <c r="G7" s="58" t="s">
        <v>5</v>
      </c>
      <c r="H7" s="58" t="s">
        <v>21</v>
      </c>
      <c r="I7" s="58" t="s">
        <v>22</v>
      </c>
      <c r="K7" s="83" t="s">
        <v>1</v>
      </c>
      <c r="L7" s="22" t="s" ph="1">
        <v>8</v>
      </c>
      <c r="M7" s="23" t="s">
        <v>9</v>
      </c>
      <c r="N7" s="49" t="s" ph="1">
        <v>26</v>
      </c>
      <c r="O7" s="22" t="s" ph="1">
        <v>26</v>
      </c>
      <c r="P7" s="59" t="s" ph="1">
        <v>27</v>
      </c>
      <c r="Q7" s="22" t="s" ph="1">
        <v>28</v>
      </c>
      <c r="R7" s="23" t="s">
        <v>55</v>
      </c>
      <c r="S7" s="23" t="s">
        <v>44</v>
      </c>
      <c r="U7" s="43" t="s">
        <v>6</v>
      </c>
      <c r="V7" s="43">
        <v>0.45</v>
      </c>
      <c r="W7" s="43"/>
    </row>
    <row r="8" spans="2:26" ht="15.6" x14ac:dyDescent="0.2">
      <c r="B8" s="91"/>
      <c r="C8" s="9" t="s">
        <v>30</v>
      </c>
      <c r="D8" s="9" t="s">
        <v>30</v>
      </c>
      <c r="E8" s="9" t="s">
        <v>30</v>
      </c>
      <c r="F8" s="9" t="s">
        <v>31</v>
      </c>
      <c r="G8" s="9" t="s">
        <v>32</v>
      </c>
      <c r="H8" s="9" t="s">
        <v>32</v>
      </c>
      <c r="I8" s="9" t="s">
        <v>32</v>
      </c>
      <c r="K8" s="84"/>
      <c r="L8" s="24" t="s">
        <v>30</v>
      </c>
      <c r="M8" s="24" t="s">
        <v>31</v>
      </c>
      <c r="N8" s="50" t="s">
        <v>67</v>
      </c>
      <c r="O8" s="55" t="s">
        <v>10</v>
      </c>
      <c r="P8" s="24" t="s">
        <v>10</v>
      </c>
      <c r="Q8" s="56" t="s">
        <v>37</v>
      </c>
      <c r="R8" s="24" t="s">
        <v>32</v>
      </c>
      <c r="S8" s="24" t="s">
        <v>32</v>
      </c>
      <c r="X8" s="2"/>
      <c r="Y8" s="2"/>
      <c r="Z8" s="2"/>
    </row>
    <row r="9" spans="2:26" ht="17.25" customHeight="1" x14ac:dyDescent="0.2">
      <c r="B9" s="16">
        <v>1</v>
      </c>
      <c r="C9" s="65">
        <v>0.3</v>
      </c>
      <c r="D9" s="65">
        <v>0.5</v>
      </c>
      <c r="E9" s="17">
        <f t="shared" ref="E9:E24" si="0">IF(C9="","",SQRT(C9*D9))</f>
        <v>0.3872983346207417</v>
      </c>
      <c r="F9" s="17">
        <f t="shared" ref="F9:F24" si="1">IF(C9="","",LN(D9/C9))</f>
        <v>0.51082562376599072</v>
      </c>
      <c r="G9" s="67">
        <v>66</v>
      </c>
      <c r="H9" s="67">
        <v>37</v>
      </c>
      <c r="I9" s="32">
        <f>IF(G9="","",AVERAGE(G9,H9))</f>
        <v>51.5</v>
      </c>
      <c r="K9" s="10">
        <f>IF(AND(MAX($D$9:$D$24)&gt;=1,C9&lt;1),B9,"")</f>
        <v>1</v>
      </c>
      <c r="L9" s="18">
        <f>IF(K9="","",VLOOKUP(K9,$B$9:$F$24,4))</f>
        <v>0.3872983346207417</v>
      </c>
      <c r="M9" s="18">
        <f>IF(K9="","",VLOOKUP(K9,$B$9:$F$24,5))</f>
        <v>0.51082562376599072</v>
      </c>
      <c r="N9" s="53">
        <f>IF(L9="","",($V$7*(1/(LN($V$6)*SQRT(2*PI())))*EXP(-(((LN(L9)-LN($V$5))^2)/(2*(LN($V$6)^2)))))+((1-$V$7)*(1/(LN($W$6)*SQRT(2*PI())))*EXP(-(((LN(L9)-LN($W$5))^2)/(2*(LN($W$6)^2))))))</f>
        <v>0.21917486643219755</v>
      </c>
      <c r="O9" s="34">
        <f>IF(L9="","",M9*N9)</f>
        <v>0.11196013785905501</v>
      </c>
      <c r="P9" s="34">
        <f>IF(L9="","",O9*VLOOKUP(K9,$B$9:$H$24,7)/100)</f>
        <v>4.1425251007850356E-2</v>
      </c>
      <c r="Q9" s="34">
        <f>IF(L9="","",O9*VLOOKUP(K9,$B$9:$I$24,8)/100)</f>
        <v>5.765947099741333E-2</v>
      </c>
      <c r="R9" s="8"/>
      <c r="S9" s="8"/>
      <c r="U9" s="43" t="s">
        <v>64</v>
      </c>
      <c r="V9" s="43" t="s">
        <v>7</v>
      </c>
      <c r="W9" s="43" t="s">
        <v>59</v>
      </c>
    </row>
    <row r="10" spans="2:26" ht="17.25" customHeight="1" x14ac:dyDescent="0.2">
      <c r="B10" s="16">
        <v>2</v>
      </c>
      <c r="C10" s="64">
        <f>IF(OR(G10="",D9&gt;=10),"",D9)</f>
        <v>0.5</v>
      </c>
      <c r="D10" s="65">
        <v>0.7</v>
      </c>
      <c r="E10" s="17">
        <f t="shared" si="0"/>
        <v>0.59160797830996159</v>
      </c>
      <c r="F10" s="17">
        <f t="shared" si="1"/>
        <v>0.33647223662121289</v>
      </c>
      <c r="G10" s="67">
        <v>78</v>
      </c>
      <c r="H10" s="67">
        <v>49</v>
      </c>
      <c r="I10" s="32">
        <f t="shared" ref="I10:I24" si="2">IF(G10="","",AVERAGE(G10,H10))</f>
        <v>63.5</v>
      </c>
      <c r="K10" s="10">
        <f t="shared" ref="K10:K14" si="3">IF(AND(MAX($D$9:$D$24)&gt;=1,C10&lt;1),B10,"")</f>
        <v>2</v>
      </c>
      <c r="L10" s="18">
        <f t="shared" ref="L10:L14" si="4">IF(K10="","",VLOOKUP(K10,$B$9:$F$24,4))</f>
        <v>0.59160797830996159</v>
      </c>
      <c r="M10" s="18">
        <f t="shared" ref="M10:M14" si="5">IF(K10="","",VLOOKUP(K10,$B$9:$F$24,5))</f>
        <v>0.33647223662121289</v>
      </c>
      <c r="N10" s="53">
        <f t="shared" ref="N10:N14" si="6">IF(L10="","",($V$7*(1/(LN($V$6)*SQRT(2*PI())))*EXP(-(((LN(L10)-LN($V$5))^2)/(2*(LN($V$6)^2)))))+((1-$V$7)*(1/(LN($W$6)*SQRT(2*PI())))*EXP(-(((LN(L10)-LN($W$5))^2)/(2*(LN($W$6)^2))))))</f>
        <v>0.1656752027803727</v>
      </c>
      <c r="O10" s="34">
        <f t="shared" ref="O10:O14" si="7">IF(L10="","",M10*N10)</f>
        <v>5.5745106032184993E-2</v>
      </c>
      <c r="P10" s="34">
        <f t="shared" ref="P10:P14" si="8">IF(L10="","",O10*VLOOKUP(K10,$B$9:$H$24,7)/100)</f>
        <v>2.7315101955770648E-2</v>
      </c>
      <c r="Q10" s="34">
        <f t="shared" ref="Q10:Q14" si="9">IF(L10="","",O10*VLOOKUP(K10,$B$9:$I$24,8)/100)</f>
        <v>3.539814233043747E-2</v>
      </c>
      <c r="R10" s="14"/>
      <c r="S10" s="14"/>
      <c r="U10" s="43" t="s">
        <v>57</v>
      </c>
      <c r="V10" s="43">
        <v>0.25</v>
      </c>
      <c r="W10" s="43">
        <v>11</v>
      </c>
    </row>
    <row r="11" spans="2:26" ht="17.25" customHeight="1" x14ac:dyDescent="0.2">
      <c r="B11" s="16">
        <v>3</v>
      </c>
      <c r="C11" s="64">
        <f t="shared" ref="C11:C24" si="10">IF(OR(G11="",D10&gt;=10),"",D10)</f>
        <v>0.7</v>
      </c>
      <c r="D11" s="65">
        <v>1</v>
      </c>
      <c r="E11" s="17">
        <f t="shared" si="0"/>
        <v>0.83666002653407556</v>
      </c>
      <c r="F11" s="17">
        <f t="shared" si="1"/>
        <v>0.35667494393873239</v>
      </c>
      <c r="G11" s="67">
        <v>86.3</v>
      </c>
      <c r="H11" s="67">
        <v>59</v>
      </c>
      <c r="I11" s="32">
        <f t="shared" si="2"/>
        <v>72.650000000000006</v>
      </c>
      <c r="K11" s="10">
        <f t="shared" si="3"/>
        <v>3</v>
      </c>
      <c r="L11" s="18">
        <f t="shared" si="4"/>
        <v>0.83666002653407556</v>
      </c>
      <c r="M11" s="18">
        <f t="shared" si="5"/>
        <v>0.35667494393873239</v>
      </c>
      <c r="N11" s="53">
        <f t="shared" si="6"/>
        <v>0.11522312052810672</v>
      </c>
      <c r="O11" s="34">
        <f t="shared" si="7"/>
        <v>4.1097200054808269E-2</v>
      </c>
      <c r="P11" s="34">
        <f t="shared" si="8"/>
        <v>2.4247348032336878E-2</v>
      </c>
      <c r="Q11" s="34">
        <f t="shared" si="9"/>
        <v>2.9857115839818208E-2</v>
      </c>
      <c r="R11" s="14"/>
      <c r="S11" s="14"/>
      <c r="U11" s="43" t="s">
        <v>58</v>
      </c>
      <c r="V11" s="43">
        <v>2.2000000000000002</v>
      </c>
      <c r="W11" s="43">
        <v>4</v>
      </c>
    </row>
    <row r="12" spans="2:26" ht="17.25" customHeight="1" x14ac:dyDescent="0.2">
      <c r="B12" s="16">
        <v>4</v>
      </c>
      <c r="C12" s="64">
        <f t="shared" si="10"/>
        <v>1</v>
      </c>
      <c r="D12" s="65">
        <v>1.3</v>
      </c>
      <c r="E12" s="17">
        <f t="shared" si="0"/>
        <v>1.1401754250991381</v>
      </c>
      <c r="F12" s="17">
        <f t="shared" si="1"/>
        <v>0.26236426446749106</v>
      </c>
      <c r="G12" s="67">
        <v>92</v>
      </c>
      <c r="H12" s="67">
        <v>68</v>
      </c>
      <c r="I12" s="32">
        <f t="shared" si="2"/>
        <v>80</v>
      </c>
      <c r="K12" s="10" t="str">
        <f t="shared" si="3"/>
        <v/>
      </c>
      <c r="L12" s="18" t="str">
        <f t="shared" si="4"/>
        <v/>
      </c>
      <c r="M12" s="18" t="str">
        <f t="shared" si="5"/>
        <v/>
      </c>
      <c r="N12" s="53" t="str">
        <f t="shared" si="6"/>
        <v/>
      </c>
      <c r="O12" s="34" t="str">
        <f t="shared" si="7"/>
        <v/>
      </c>
      <c r="P12" s="34" t="str">
        <f t="shared" si="8"/>
        <v/>
      </c>
      <c r="Q12" s="34" t="str">
        <f t="shared" si="9"/>
        <v/>
      </c>
      <c r="R12" s="14"/>
      <c r="S12" s="14"/>
      <c r="U12" s="43" t="s">
        <v>6</v>
      </c>
      <c r="V12" s="43">
        <v>0.18</v>
      </c>
      <c r="W12" s="43"/>
    </row>
    <row r="13" spans="2:26" ht="17.25" customHeight="1" x14ac:dyDescent="0.2">
      <c r="B13" s="16">
        <v>5</v>
      </c>
      <c r="C13" s="64">
        <f t="shared" si="10"/>
        <v>1.3</v>
      </c>
      <c r="D13" s="65">
        <v>1.6</v>
      </c>
      <c r="E13" s="17">
        <f t="shared" si="0"/>
        <v>1.4422205101855958</v>
      </c>
      <c r="F13" s="17">
        <f t="shared" si="1"/>
        <v>0.20763936477824455</v>
      </c>
      <c r="G13" s="67">
        <v>95</v>
      </c>
      <c r="H13" s="67">
        <v>75</v>
      </c>
      <c r="I13" s="32">
        <f t="shared" si="2"/>
        <v>85</v>
      </c>
      <c r="K13" s="10" t="str">
        <f t="shared" si="3"/>
        <v/>
      </c>
      <c r="L13" s="18" t="str">
        <f t="shared" si="4"/>
        <v/>
      </c>
      <c r="M13" s="18" t="str">
        <f t="shared" si="5"/>
        <v/>
      </c>
      <c r="N13" s="53" t="str">
        <f t="shared" si="6"/>
        <v/>
      </c>
      <c r="O13" s="34" t="str">
        <f t="shared" si="7"/>
        <v/>
      </c>
      <c r="P13" s="34" t="str">
        <f t="shared" si="8"/>
        <v/>
      </c>
      <c r="Q13" s="34" t="str">
        <f t="shared" si="9"/>
        <v/>
      </c>
      <c r="R13" s="14"/>
      <c r="S13" s="14"/>
    </row>
    <row r="14" spans="2:26" ht="17.25" customHeight="1" x14ac:dyDescent="0.2">
      <c r="B14" s="16">
        <v>6</v>
      </c>
      <c r="C14" s="64">
        <f t="shared" si="10"/>
        <v>1.6</v>
      </c>
      <c r="D14" s="65">
        <v>2.2000000000000002</v>
      </c>
      <c r="E14" s="17">
        <f t="shared" si="0"/>
        <v>1.8761663039293719</v>
      </c>
      <c r="F14" s="17">
        <f t="shared" si="1"/>
        <v>0.31845373111853459</v>
      </c>
      <c r="G14" s="67">
        <v>96.899999999999991</v>
      </c>
      <c r="H14" s="67">
        <v>83</v>
      </c>
      <c r="I14" s="32">
        <f t="shared" si="2"/>
        <v>89.949999999999989</v>
      </c>
      <c r="K14" s="10" t="str">
        <f t="shared" si="3"/>
        <v/>
      </c>
      <c r="L14" s="18" t="str">
        <f t="shared" si="4"/>
        <v/>
      </c>
      <c r="M14" s="18" t="str">
        <f t="shared" si="5"/>
        <v/>
      </c>
      <c r="N14" s="53" t="str">
        <f t="shared" si="6"/>
        <v/>
      </c>
      <c r="O14" s="34" t="str">
        <f t="shared" si="7"/>
        <v/>
      </c>
      <c r="P14" s="34" t="str">
        <f t="shared" si="8"/>
        <v/>
      </c>
      <c r="Q14" s="34" t="str">
        <f t="shared" si="9"/>
        <v/>
      </c>
      <c r="R14" s="24" t="s">
        <v>53</v>
      </c>
      <c r="S14" s="24" t="s">
        <v>41</v>
      </c>
    </row>
    <row r="15" spans="2:26" ht="17.25" customHeight="1" x14ac:dyDescent="0.2">
      <c r="B15" s="16">
        <v>7</v>
      </c>
      <c r="C15" s="64">
        <f t="shared" si="10"/>
        <v>2.2000000000000002</v>
      </c>
      <c r="D15" s="65">
        <v>3</v>
      </c>
      <c r="E15" s="17">
        <f t="shared" si="0"/>
        <v>2.5690465157330258</v>
      </c>
      <c r="F15" s="17">
        <f t="shared" si="1"/>
        <v>0.31015492830383945</v>
      </c>
      <c r="G15" s="67">
        <v>98.4</v>
      </c>
      <c r="H15" s="67">
        <v>91</v>
      </c>
      <c r="I15" s="32">
        <f t="shared" si="2"/>
        <v>94.7</v>
      </c>
      <c r="K15" s="15"/>
      <c r="L15" s="15"/>
      <c r="M15" s="15"/>
      <c r="N15" s="51" t="s">
        <v>69</v>
      </c>
      <c r="O15" s="34">
        <f>SUM(O9:O14)</f>
        <v>0.20880244394604827</v>
      </c>
      <c r="P15" s="34">
        <f>SUM(P9:P14)</f>
        <v>9.2987700995957878E-2</v>
      </c>
      <c r="Q15" s="34">
        <f>SUM(Q9:Q14)</f>
        <v>0.122914729167669</v>
      </c>
      <c r="R15" s="33">
        <f>IF(P15="","",P15/O15*100)</f>
        <v>44.533818301468081</v>
      </c>
      <c r="S15" s="33">
        <f>IF(Q15="","",Q15/O15*100)</f>
        <v>58.866518439520043</v>
      </c>
    </row>
    <row r="16" spans="2:26" ht="17.25" customHeight="1" x14ac:dyDescent="0.2">
      <c r="B16" s="16">
        <v>8</v>
      </c>
      <c r="C16" s="64">
        <f t="shared" si="10"/>
        <v>3</v>
      </c>
      <c r="D16" s="66">
        <v>4</v>
      </c>
      <c r="E16" s="17">
        <f t="shared" si="0"/>
        <v>3.4641016151377544</v>
      </c>
      <c r="F16" s="17">
        <f t="shared" si="1"/>
        <v>0.28768207245178085</v>
      </c>
      <c r="G16" s="67">
        <v>99.7</v>
      </c>
      <c r="H16" s="67">
        <v>96.5</v>
      </c>
      <c r="I16" s="32">
        <f t="shared" si="2"/>
        <v>98.1</v>
      </c>
      <c r="K16" s="62"/>
      <c r="L16" s="62"/>
      <c r="M16" s="62"/>
      <c r="N16" s="63"/>
      <c r="O16" s="60"/>
      <c r="P16" s="60"/>
      <c r="Q16" s="60"/>
      <c r="R16" s="61"/>
      <c r="S16" s="61"/>
    </row>
    <row r="17" spans="1:26" ht="17.25" customHeight="1" x14ac:dyDescent="0.2">
      <c r="B17" s="16">
        <v>9</v>
      </c>
      <c r="C17" s="64">
        <f t="shared" si="10"/>
        <v>4</v>
      </c>
      <c r="D17" s="65">
        <v>5.5</v>
      </c>
      <c r="E17" s="17">
        <f t="shared" si="0"/>
        <v>4.6904157598234297</v>
      </c>
      <c r="F17" s="17">
        <f t="shared" si="1"/>
        <v>0.31845373111853459</v>
      </c>
      <c r="G17" s="67">
        <v>100</v>
      </c>
      <c r="H17" s="67">
        <v>98.6</v>
      </c>
      <c r="I17" s="32">
        <f t="shared" si="2"/>
        <v>99.3</v>
      </c>
      <c r="K17" s="10">
        <f t="shared" ref="K17:K22" si="11">IF(AND(MAX($D$9:$D$24)&gt;=2.5,C9&lt;2.5),B9,"")</f>
        <v>1</v>
      </c>
      <c r="L17" s="18">
        <f t="shared" ref="L17:L22" si="12">IF(K17="","",VLOOKUP(K17,$B$9:$F$24,4))</f>
        <v>0.3872983346207417</v>
      </c>
      <c r="M17" s="18">
        <f t="shared" ref="M17:M22" si="13">IF(K17="","",VLOOKUP(K17,$B$9:$F$24,5))</f>
        <v>0.51082562376599072</v>
      </c>
      <c r="N17" s="53">
        <f t="shared" ref="N17:N22" si="14">IF(L17="","",($V$7*(1/(LN($V$6)*SQRT(2*PI())))*EXP(-(((LN(L17)-LN($V$5))^2)/(2*(LN($V$6)^2)))))+((1-$V$7)*(1/(LN($W$6)*SQRT(2*PI())))*EXP(-(((LN(L17)-LN($W$5))^2)/(2*(LN($W$6)^2))))))</f>
        <v>0.21917486643219755</v>
      </c>
      <c r="O17" s="35">
        <f t="shared" ref="O17:O22" si="15">IF(L17="","",M17*N17)</f>
        <v>0.11196013785905501</v>
      </c>
      <c r="P17" s="34">
        <f>IF(L17="","",O17*VLOOKUP(K17,$B$9:$H$24,7)/100)</f>
        <v>4.1425251007850356E-2</v>
      </c>
      <c r="Q17" s="34">
        <f>IF(L17="","",O17*VLOOKUP(K17,$B$9:$I$24,8)/100)</f>
        <v>5.765947099741333E-2</v>
      </c>
      <c r="R17" s="8"/>
      <c r="S17" s="8"/>
    </row>
    <row r="18" spans="1:26" ht="16.8" customHeight="1" x14ac:dyDescent="0.2">
      <c r="B18" s="16">
        <v>10</v>
      </c>
      <c r="C18" s="64">
        <f t="shared" si="10"/>
        <v>5.5</v>
      </c>
      <c r="D18" s="65">
        <v>7</v>
      </c>
      <c r="E18" s="17">
        <f t="shared" si="0"/>
        <v>6.2048368229954285</v>
      </c>
      <c r="F18" s="17">
        <f t="shared" si="1"/>
        <v>0.24116205681688804</v>
      </c>
      <c r="G18" s="67">
        <v>100</v>
      </c>
      <c r="H18" s="67">
        <v>100</v>
      </c>
      <c r="I18" s="32">
        <f t="shared" si="2"/>
        <v>100</v>
      </c>
      <c r="K18" s="10">
        <f t="shared" si="11"/>
        <v>2</v>
      </c>
      <c r="L18" s="18">
        <f t="shared" si="12"/>
        <v>0.59160797830996159</v>
      </c>
      <c r="M18" s="18">
        <f t="shared" si="13"/>
        <v>0.33647223662121289</v>
      </c>
      <c r="N18" s="53">
        <f t="shared" si="14"/>
        <v>0.1656752027803727</v>
      </c>
      <c r="O18" s="35">
        <f t="shared" si="15"/>
        <v>5.5745106032184993E-2</v>
      </c>
      <c r="P18" s="34">
        <f t="shared" ref="P18:P20" si="16">IF(L18="","",O18*VLOOKUP(K18,$B$9:$H$24,7)/100)</f>
        <v>2.7315101955770648E-2</v>
      </c>
      <c r="Q18" s="34">
        <f t="shared" ref="Q18:Q20" si="17">IF(L18="","",O18*VLOOKUP(K18,$B$9:$I$24,8)/100)</f>
        <v>3.539814233043747E-2</v>
      </c>
      <c r="R18" s="14"/>
      <c r="S18" s="14"/>
    </row>
    <row r="19" spans="1:26" s="2" customFormat="1" ht="16.8" customHeight="1" x14ac:dyDescent="0.2">
      <c r="A19" s="1"/>
      <c r="B19" s="16">
        <v>11</v>
      </c>
      <c r="C19" s="64">
        <f t="shared" si="10"/>
        <v>7</v>
      </c>
      <c r="D19" s="65">
        <v>10</v>
      </c>
      <c r="E19" s="17">
        <f t="shared" si="0"/>
        <v>8.3666002653407556</v>
      </c>
      <c r="F19" s="17">
        <f t="shared" si="1"/>
        <v>0.35667494393873239</v>
      </c>
      <c r="G19" s="67">
        <v>100</v>
      </c>
      <c r="H19" s="67">
        <v>100</v>
      </c>
      <c r="I19" s="32">
        <f t="shared" si="2"/>
        <v>100</v>
      </c>
      <c r="K19" s="10">
        <f t="shared" si="11"/>
        <v>3</v>
      </c>
      <c r="L19" s="18">
        <f t="shared" si="12"/>
        <v>0.83666002653407556</v>
      </c>
      <c r="M19" s="18">
        <f t="shared" si="13"/>
        <v>0.35667494393873239</v>
      </c>
      <c r="N19" s="53">
        <f t="shared" si="14"/>
        <v>0.11522312052810672</v>
      </c>
      <c r="O19" s="34">
        <f t="shared" si="15"/>
        <v>4.1097200054808269E-2</v>
      </c>
      <c r="P19" s="34">
        <f t="shared" si="16"/>
        <v>2.4247348032336878E-2</v>
      </c>
      <c r="Q19" s="34">
        <f t="shared" si="17"/>
        <v>2.9857115839818208E-2</v>
      </c>
      <c r="R19" s="14"/>
      <c r="S19" s="14"/>
      <c r="U19" s="1"/>
      <c r="V19" s="1"/>
      <c r="W19" s="1"/>
      <c r="X19" s="1"/>
      <c r="Y19" s="1"/>
      <c r="Z19" s="1"/>
    </row>
    <row r="20" spans="1:26" ht="16.8" customHeight="1" x14ac:dyDescent="0.2">
      <c r="B20" s="16">
        <v>12</v>
      </c>
      <c r="C20" s="64" t="str">
        <f t="shared" si="10"/>
        <v/>
      </c>
      <c r="D20" s="65"/>
      <c r="E20" s="17" t="str">
        <f t="shared" si="0"/>
        <v/>
      </c>
      <c r="F20" s="17" t="str">
        <f t="shared" si="1"/>
        <v/>
      </c>
      <c r="G20" s="67"/>
      <c r="H20" s="67"/>
      <c r="I20" s="32" t="str">
        <f t="shared" si="2"/>
        <v/>
      </c>
      <c r="K20" s="10">
        <f t="shared" si="11"/>
        <v>4</v>
      </c>
      <c r="L20" s="18">
        <f t="shared" si="12"/>
        <v>1.1401754250991381</v>
      </c>
      <c r="M20" s="18">
        <f t="shared" si="13"/>
        <v>0.26236426446749106</v>
      </c>
      <c r="N20" s="53">
        <f t="shared" si="14"/>
        <v>8.5031900239789432E-2</v>
      </c>
      <c r="O20" s="34">
        <f t="shared" si="15"/>
        <v>2.230933196268543E-2</v>
      </c>
      <c r="P20" s="34">
        <f t="shared" si="16"/>
        <v>1.5170345734626091E-2</v>
      </c>
      <c r="Q20" s="34">
        <f t="shared" si="17"/>
        <v>1.7847465570148345E-2</v>
      </c>
      <c r="R20" s="14"/>
      <c r="S20" s="14"/>
    </row>
    <row r="21" spans="1:26" ht="16.8" customHeight="1" x14ac:dyDescent="0.2">
      <c r="B21" s="16">
        <v>13</v>
      </c>
      <c r="C21" s="64" t="str">
        <f t="shared" si="10"/>
        <v/>
      </c>
      <c r="D21" s="66"/>
      <c r="E21" s="17" t="str">
        <f t="shared" si="0"/>
        <v/>
      </c>
      <c r="F21" s="17" t="str">
        <f t="shared" si="1"/>
        <v/>
      </c>
      <c r="G21" s="67"/>
      <c r="H21" s="67"/>
      <c r="I21" s="32" t="str">
        <f t="shared" si="2"/>
        <v/>
      </c>
      <c r="K21" s="10">
        <f t="shared" si="11"/>
        <v>5</v>
      </c>
      <c r="L21" s="18">
        <f t="shared" si="12"/>
        <v>1.4422205101855958</v>
      </c>
      <c r="M21" s="18">
        <f t="shared" si="13"/>
        <v>0.20763936477824455</v>
      </c>
      <c r="N21" s="53">
        <f t="shared" si="14"/>
        <v>7.6176988893901898E-2</v>
      </c>
      <c r="O21" s="35">
        <f t="shared" si="15"/>
        <v>1.5817341584649178E-2</v>
      </c>
      <c r="P21" s="34">
        <f>IF(L21="","",O21*VLOOKUP(K21,$B$9:$H$24,7)/100)</f>
        <v>1.1863006188486885E-2</v>
      </c>
      <c r="Q21" s="34">
        <f>IF(L21="","",O21*VLOOKUP(K21,$B$9:$I$24,8)/100)</f>
        <v>1.3444740346951803E-2</v>
      </c>
      <c r="R21" s="14"/>
      <c r="S21" s="14"/>
    </row>
    <row r="22" spans="1:26" ht="16.8" customHeight="1" x14ac:dyDescent="0.2">
      <c r="B22" s="16">
        <v>14</v>
      </c>
      <c r="C22" s="64" t="str">
        <f t="shared" si="10"/>
        <v/>
      </c>
      <c r="D22" s="65"/>
      <c r="E22" s="17" t="str">
        <f t="shared" si="0"/>
        <v/>
      </c>
      <c r="F22" s="17" t="str">
        <f t="shared" si="1"/>
        <v/>
      </c>
      <c r="G22" s="67"/>
      <c r="H22" s="67"/>
      <c r="I22" s="32" t="str">
        <f t="shared" si="2"/>
        <v/>
      </c>
      <c r="K22" s="10">
        <f t="shared" si="11"/>
        <v>6</v>
      </c>
      <c r="L22" s="18">
        <f t="shared" si="12"/>
        <v>1.8761663039293719</v>
      </c>
      <c r="M22" s="18">
        <f t="shared" si="13"/>
        <v>0.31845373111853459</v>
      </c>
      <c r="N22" s="53">
        <f t="shared" si="14"/>
        <v>8.0218281711433762E-2</v>
      </c>
      <c r="O22" s="35">
        <f t="shared" si="15"/>
        <v>2.5545811114923787E-2</v>
      </c>
      <c r="P22" s="34">
        <f t="shared" ref="P22" si="18">IF(L22="","",O22*VLOOKUP(K22,$B$9:$H$24,7)/100)</f>
        <v>2.1203023225386745E-2</v>
      </c>
      <c r="Q22" s="34">
        <f t="shared" ref="Q22" si="19">IF(L22="","",O22*VLOOKUP(K22,$B$9:$I$24,8)/100)</f>
        <v>2.2978457097873942E-2</v>
      </c>
      <c r="R22" s="14"/>
      <c r="S22" s="14"/>
    </row>
    <row r="23" spans="1:26" ht="16.8" customHeight="1" x14ac:dyDescent="0.2">
      <c r="B23" s="16">
        <v>15</v>
      </c>
      <c r="C23" s="64" t="str">
        <f t="shared" si="10"/>
        <v/>
      </c>
      <c r="D23" s="65"/>
      <c r="E23" s="17" t="str">
        <f t="shared" si="0"/>
        <v/>
      </c>
      <c r="F23" s="17" t="str">
        <f t="shared" si="1"/>
        <v/>
      </c>
      <c r="G23" s="67"/>
      <c r="H23" s="67"/>
      <c r="I23" s="32" t="str">
        <f t="shared" si="2"/>
        <v/>
      </c>
      <c r="K23" s="10">
        <f t="shared" ref="K23:K25" si="20">IF(AND(MAX($D$9:$D$24)&gt;=2.5,C15&lt;2.5),B15,"")</f>
        <v>7</v>
      </c>
      <c r="L23" s="18">
        <f t="shared" ref="L23:L25" si="21">IF(K23="","",VLOOKUP(K23,$B$9:$F$24,4))</f>
        <v>2.5690465157330258</v>
      </c>
      <c r="M23" s="18">
        <f t="shared" ref="M23:M25" si="22">IF(K23="","",VLOOKUP(K23,$B$9:$F$24,5))</f>
        <v>0.31015492830383945</v>
      </c>
      <c r="N23" s="53">
        <f t="shared" ref="N23:N25" si="23">IF(L23="","",($V$7*(1/(LN($V$6)*SQRT(2*PI())))*EXP(-(((LN(L23)-LN($V$5))^2)/(2*(LN($V$6)^2)))))+((1-$V$7)*(1/(LN($W$6)*SQRT(2*PI())))*EXP(-(((LN(L23)-LN($W$5))^2)/(2*(LN($W$6)^2))))))</f>
        <v>9.9838918587147579E-2</v>
      </c>
      <c r="O23" s="35">
        <f t="shared" ref="O23:O25" si="24">IF(L23="","",M23*N23)</f>
        <v>3.0965532636329621E-2</v>
      </c>
      <c r="P23" s="34">
        <f t="shared" ref="P23:P25" si="25">IF(L23="","",O23*VLOOKUP(K23,$B$9:$H$24,7)/100)</f>
        <v>2.8178634699059953E-2</v>
      </c>
      <c r="Q23" s="34">
        <f t="shared" ref="Q23:Q25" si="26">IF(L23="","",O23*VLOOKUP(K23,$B$9:$I$24,8)/100)</f>
        <v>2.9324359406604151E-2</v>
      </c>
      <c r="R23" s="14"/>
      <c r="S23" s="14"/>
    </row>
    <row r="24" spans="1:26" ht="16.8" customHeight="1" x14ac:dyDescent="0.2">
      <c r="B24" s="16">
        <v>16</v>
      </c>
      <c r="C24" s="64" t="str">
        <f t="shared" si="10"/>
        <v/>
      </c>
      <c r="D24" s="65"/>
      <c r="E24" s="17" t="str">
        <f t="shared" si="0"/>
        <v/>
      </c>
      <c r="F24" s="17" t="str">
        <f t="shared" si="1"/>
        <v/>
      </c>
      <c r="G24" s="67"/>
      <c r="H24" s="67"/>
      <c r="I24" s="32" t="str">
        <f t="shared" si="2"/>
        <v/>
      </c>
      <c r="K24" s="10" t="str">
        <f t="shared" si="20"/>
        <v/>
      </c>
      <c r="L24" s="18" t="str">
        <f t="shared" si="21"/>
        <v/>
      </c>
      <c r="M24" s="18" t="str">
        <f t="shared" si="22"/>
        <v/>
      </c>
      <c r="N24" s="53" t="str">
        <f t="shared" si="23"/>
        <v/>
      </c>
      <c r="O24" s="35" t="str">
        <f t="shared" si="24"/>
        <v/>
      </c>
      <c r="P24" s="34" t="str">
        <f t="shared" si="25"/>
        <v/>
      </c>
      <c r="Q24" s="34" t="str">
        <f t="shared" si="26"/>
        <v/>
      </c>
      <c r="R24" s="14"/>
      <c r="S24" s="14"/>
    </row>
    <row r="25" spans="1:26" ht="17.25" customHeight="1" x14ac:dyDescent="0.2">
      <c r="B25" s="11"/>
      <c r="C25" s="11"/>
      <c r="D25" s="11"/>
      <c r="E25" s="11"/>
      <c r="F25" s="11"/>
      <c r="G25" s="11"/>
      <c r="H25" s="11"/>
      <c r="I25" s="11"/>
      <c r="K25" s="10" t="str">
        <f t="shared" si="20"/>
        <v/>
      </c>
      <c r="L25" s="18" t="str">
        <f t="shared" si="21"/>
        <v/>
      </c>
      <c r="M25" s="18" t="str">
        <f t="shared" si="22"/>
        <v/>
      </c>
      <c r="N25" s="53" t="str">
        <f t="shared" si="23"/>
        <v/>
      </c>
      <c r="O25" s="35" t="str">
        <f t="shared" si="24"/>
        <v/>
      </c>
      <c r="P25" s="34" t="str">
        <f t="shared" si="25"/>
        <v/>
      </c>
      <c r="Q25" s="34" t="str">
        <f t="shared" si="26"/>
        <v/>
      </c>
      <c r="R25" s="24" t="s">
        <v>54</v>
      </c>
      <c r="S25" s="24" t="s">
        <v>42</v>
      </c>
    </row>
    <row r="26" spans="1:26" ht="17.25" customHeight="1" x14ac:dyDescent="0.2">
      <c r="B26" s="12" t="s">
        <v>3</v>
      </c>
      <c r="C26" s="26" t="s">
        <v>46</v>
      </c>
      <c r="D26" s="11"/>
      <c r="E26" s="11"/>
      <c r="F26" s="11"/>
      <c r="G26" s="11"/>
      <c r="H26" s="11"/>
      <c r="I26" s="11"/>
      <c r="K26" s="11"/>
      <c r="L26" s="11"/>
      <c r="M26" s="11"/>
      <c r="N26" s="51" t="s">
        <v>70</v>
      </c>
      <c r="O26" s="34">
        <f>SUM(O17:O25)</f>
        <v>0.30344046124463625</v>
      </c>
      <c r="P26" s="34">
        <f>SUM(P17:P25)</f>
        <v>0.16940271084351755</v>
      </c>
      <c r="Q26" s="35">
        <f>SUM(Q17:Q25)</f>
        <v>0.20650975158924725</v>
      </c>
      <c r="R26" s="33">
        <f>IF(P26="","",P26/O26*100)</f>
        <v>55.827331051590924</v>
      </c>
      <c r="S26" s="33">
        <f>IF(Q26="","",Q26/O26*100)</f>
        <v>68.056102585066057</v>
      </c>
    </row>
    <row r="27" spans="1:26" ht="17.25" customHeight="1" x14ac:dyDescent="0.2">
      <c r="B27" s="12" t="s">
        <v>23</v>
      </c>
      <c r="C27" s="26" t="s">
        <v>47</v>
      </c>
      <c r="D27" s="11"/>
      <c r="E27" s="11"/>
      <c r="F27" s="11"/>
      <c r="G27" s="11"/>
      <c r="H27" s="11"/>
      <c r="I27" s="11"/>
      <c r="K27" s="6"/>
      <c r="L27" s="6"/>
      <c r="M27" s="6"/>
      <c r="N27" s="52"/>
      <c r="O27" s="15"/>
      <c r="P27" s="15"/>
      <c r="Q27" s="15"/>
      <c r="R27" s="15"/>
      <c r="S27" s="15"/>
    </row>
    <row r="28" spans="1:26" ht="17.25" customHeight="1" x14ac:dyDescent="0.35">
      <c r="B28" s="12" t="s" ph="1">
        <v>2</v>
      </c>
      <c r="C28" s="26" t="s">
        <v>48</v>
      </c>
      <c r="D28" s="11"/>
      <c r="E28" s="11"/>
      <c r="F28" s="11"/>
      <c r="G28" s="11"/>
      <c r="H28" s="11"/>
      <c r="I28" s="11"/>
      <c r="K28" s="83" t="s">
        <v>1</v>
      </c>
      <c r="L28" s="22" t="s" ph="1">
        <v>8</v>
      </c>
      <c r="M28" s="23" t="s">
        <v>38</v>
      </c>
      <c r="N28" s="49" t="s" ph="1">
        <v>26</v>
      </c>
      <c r="O28" s="22" t="s" ph="1">
        <v>26</v>
      </c>
      <c r="P28" s="85" ph="1"/>
      <c r="Q28" s="22" t="s" ph="1">
        <v>28</v>
      </c>
      <c r="R28" s="85" ph="1"/>
      <c r="S28" s="23" t="s">
        <v>45</v>
      </c>
    </row>
    <row r="29" spans="1:26" ht="17.25" customHeight="1" x14ac:dyDescent="0.2">
      <c r="B29" s="13" t="s">
        <v>4</v>
      </c>
      <c r="C29" s="26" t="s">
        <v>49</v>
      </c>
      <c r="D29" s="11"/>
      <c r="E29" s="11"/>
      <c r="F29" s="11"/>
      <c r="G29" s="11"/>
      <c r="H29" s="11"/>
      <c r="I29" s="11"/>
      <c r="K29" s="84"/>
      <c r="L29" s="24" t="s">
        <v>30</v>
      </c>
      <c r="M29" s="24" t="s">
        <v>31</v>
      </c>
      <c r="N29" s="50" t="s">
        <v>68</v>
      </c>
      <c r="O29" s="57" t="s">
        <v>10</v>
      </c>
      <c r="P29" s="86"/>
      <c r="Q29" s="56" t="s">
        <v>10</v>
      </c>
      <c r="R29" s="86"/>
      <c r="S29" s="24" t="s">
        <v>32</v>
      </c>
    </row>
    <row r="30" spans="1:26" ht="17.25" customHeight="1" x14ac:dyDescent="0.2">
      <c r="B30" s="13"/>
      <c r="C30" s="26" t="s">
        <v>35</v>
      </c>
      <c r="D30" s="11"/>
      <c r="E30" s="11"/>
      <c r="F30" s="11"/>
      <c r="G30" s="11"/>
      <c r="H30" s="11"/>
      <c r="I30" s="11"/>
      <c r="K30" s="10">
        <f t="shared" ref="K30:K36" si="27">IF(AND(MAX($D$9:$D$24)&gt;=10,C9&lt;10),B9,"")</f>
        <v>1</v>
      </c>
      <c r="L30" s="18">
        <f t="shared" ref="L30:L36" si="28">IF(K30="","",VLOOKUP(K30,$B$9:$F$24,4))</f>
        <v>0.3872983346207417</v>
      </c>
      <c r="M30" s="18">
        <f t="shared" ref="M30:M36" si="29">IF(K30="","",VLOOKUP(K30,$B$9:$F$24,5))</f>
        <v>0.51082562376599072</v>
      </c>
      <c r="N30" s="53">
        <f>IF(L30="","",($V$12*(1/(LN($V$11)*SQRT(2*PI())))*EXP(-(((LN(L30)-LN($V$10))^2)/(2*(LN($V$11)^2)))))+((1-$V$12)*(1/(LN($W$11)*SQRT(2*PI())))*EXP(-(((LN(L30)-LN($W$10))^2)/(2*(LN($W$11)^2))))))</f>
        <v>9.0877136652278673E-2</v>
      </c>
      <c r="O30" s="36">
        <f>IF(L30="","",M30*N30)</f>
        <v>4.6422370016467429E-2</v>
      </c>
      <c r="P30" s="36"/>
      <c r="Q30" s="34">
        <f>IF(L30="","",O30*VLOOKUP(K30,$B$9:$I$24,8)/100)</f>
        <v>2.3907520558480728E-2</v>
      </c>
      <c r="R30" s="23"/>
      <c r="S30" s="23"/>
    </row>
    <row r="31" spans="1:26" ht="17.25" customHeight="1" x14ac:dyDescent="0.2">
      <c r="B31" s="12" t="s">
        <v>5</v>
      </c>
      <c r="C31" s="26" t="s">
        <v>50</v>
      </c>
      <c r="D31" s="11"/>
      <c r="E31" s="11"/>
      <c r="F31" s="11"/>
      <c r="G31" s="11"/>
      <c r="H31" s="11"/>
      <c r="I31" s="11"/>
      <c r="K31" s="10">
        <f t="shared" si="27"/>
        <v>2</v>
      </c>
      <c r="L31" s="18">
        <f t="shared" si="28"/>
        <v>0.59160797830996159</v>
      </c>
      <c r="M31" s="18">
        <f t="shared" si="29"/>
        <v>0.33647223662121289</v>
      </c>
      <c r="N31" s="53">
        <f t="shared" ref="N31:N36" si="30">IF(L31="","",($V$12*(1/(LN($V$11)*SQRT(2*PI())))*EXP(-(((LN(L31)-LN($V$10))^2)/(2*(LN($V$11)^2)))))+((1-$V$12)*(1/(LN($W$11)*SQRT(2*PI())))*EXP(-(((LN(L31)-LN($W$10))^2)/(2*(LN($W$11)^2))))))</f>
        <v>7.5708269479922263E-2</v>
      </c>
      <c r="O31" s="36">
        <f t="shared" ref="O31:O36" si="31">IF(L31="","",M31*N31)</f>
        <v>2.5473730762630955E-2</v>
      </c>
      <c r="P31" s="36"/>
      <c r="Q31" s="34">
        <f t="shared" ref="Q31:Q36" si="32">IF(L31="","",O31*VLOOKUP(K31,$B$9:$I$24,8)/100)</f>
        <v>1.6175819034270657E-2</v>
      </c>
      <c r="R31" s="25"/>
      <c r="S31" s="25"/>
    </row>
    <row r="32" spans="1:26" ht="17.25" customHeight="1" x14ac:dyDescent="0.2">
      <c r="B32" s="12" t="s">
        <v>24</v>
      </c>
      <c r="C32" s="26" t="s">
        <v>51</v>
      </c>
      <c r="D32" s="11"/>
      <c r="E32" s="11"/>
      <c r="F32" s="11"/>
      <c r="G32" s="11"/>
      <c r="H32" s="11"/>
      <c r="I32" s="11"/>
      <c r="K32" s="10">
        <f t="shared" si="27"/>
        <v>3</v>
      </c>
      <c r="L32" s="18">
        <f t="shared" si="28"/>
        <v>0.83666002653407556</v>
      </c>
      <c r="M32" s="18">
        <f t="shared" si="29"/>
        <v>0.35667494393873239</v>
      </c>
      <c r="N32" s="53">
        <f t="shared" si="30"/>
        <v>7.0136847107669167E-2</v>
      </c>
      <c r="O32" s="37">
        <f t="shared" si="31"/>
        <v>2.5016056010167344E-2</v>
      </c>
      <c r="P32" s="36"/>
      <c r="Q32" s="34">
        <f t="shared" si="32"/>
        <v>1.8174164691386576E-2</v>
      </c>
      <c r="R32" s="25"/>
      <c r="S32" s="25"/>
    </row>
    <row r="33" spans="2:19" ht="17.25" customHeight="1" x14ac:dyDescent="0.2">
      <c r="B33" s="12" t="s">
        <v>25</v>
      </c>
      <c r="C33" s="26" t="s">
        <v>52</v>
      </c>
      <c r="D33" s="11"/>
      <c r="E33" s="11"/>
      <c r="F33" s="11"/>
      <c r="G33" s="11"/>
      <c r="H33" s="11"/>
      <c r="I33" s="11"/>
      <c r="K33" s="10">
        <f t="shared" si="27"/>
        <v>4</v>
      </c>
      <c r="L33" s="18">
        <f t="shared" si="28"/>
        <v>1.1401754250991381</v>
      </c>
      <c r="M33" s="18">
        <f t="shared" si="29"/>
        <v>0.26236426446749106</v>
      </c>
      <c r="N33" s="53">
        <f t="shared" si="30"/>
        <v>7.6281063818821132E-2</v>
      </c>
      <c r="O33" s="37">
        <f t="shared" si="31"/>
        <v>2.0013425201622751E-2</v>
      </c>
      <c r="P33" s="36"/>
      <c r="Q33" s="34">
        <f t="shared" si="32"/>
        <v>1.6010740161298199E-2</v>
      </c>
      <c r="R33" s="25"/>
      <c r="S33" s="25"/>
    </row>
    <row r="34" spans="2:19" ht="17.25" customHeight="1" x14ac:dyDescent="0.2">
      <c r="B34" s="11"/>
      <c r="C34" s="11"/>
      <c r="D34" s="11"/>
      <c r="E34" s="11"/>
      <c r="F34" s="11"/>
      <c r="G34" s="11"/>
      <c r="H34" s="11"/>
      <c r="I34" s="11"/>
      <c r="K34" s="10">
        <f t="shared" si="27"/>
        <v>5</v>
      </c>
      <c r="L34" s="18">
        <f t="shared" si="28"/>
        <v>1.4422205101855958</v>
      </c>
      <c r="M34" s="18">
        <f t="shared" si="29"/>
        <v>0.20763936477824455</v>
      </c>
      <c r="N34" s="53">
        <f t="shared" si="30"/>
        <v>8.832569491917508E-2</v>
      </c>
      <c r="O34" s="37">
        <f t="shared" si="31"/>
        <v>1.8339891186614537E-2</v>
      </c>
      <c r="P34" s="36"/>
      <c r="Q34" s="34">
        <f t="shared" si="32"/>
        <v>1.5588907508622357E-2</v>
      </c>
      <c r="R34" s="25"/>
      <c r="S34" s="25"/>
    </row>
    <row r="35" spans="2:19" ht="17.25" customHeight="1" x14ac:dyDescent="0.2">
      <c r="K35" s="10">
        <f t="shared" si="27"/>
        <v>6</v>
      </c>
      <c r="L35" s="18">
        <f t="shared" si="28"/>
        <v>1.8761663039293719</v>
      </c>
      <c r="M35" s="18">
        <f t="shared" si="29"/>
        <v>0.31845373111853459</v>
      </c>
      <c r="N35" s="53">
        <f t="shared" si="30"/>
        <v>0.10804227787767164</v>
      </c>
      <c r="O35" s="36">
        <f t="shared" si="31"/>
        <v>3.4406466508690038E-2</v>
      </c>
      <c r="P35" s="36"/>
      <c r="Q35" s="34">
        <f t="shared" si="32"/>
        <v>3.0948616624566685E-2</v>
      </c>
      <c r="R35" s="25"/>
      <c r="S35" s="25"/>
    </row>
    <row r="36" spans="2:19" ht="17.25" customHeight="1" x14ac:dyDescent="0.2">
      <c r="K36" s="10">
        <f t="shared" si="27"/>
        <v>7</v>
      </c>
      <c r="L36" s="18">
        <f t="shared" si="28"/>
        <v>2.5690465157330258</v>
      </c>
      <c r="M36" s="18">
        <f t="shared" si="29"/>
        <v>0.31015492830383945</v>
      </c>
      <c r="N36" s="53">
        <f t="shared" si="30"/>
        <v>0.13726213016020306</v>
      </c>
      <c r="O36" s="36">
        <f t="shared" si="31"/>
        <v>4.2572526138670054E-2</v>
      </c>
      <c r="P36" s="36"/>
      <c r="Q36" s="34">
        <f t="shared" si="32"/>
        <v>4.0316182253320544E-2</v>
      </c>
      <c r="R36" s="25"/>
      <c r="S36" s="25"/>
    </row>
    <row r="37" spans="2:19" ht="17.25" customHeight="1" x14ac:dyDescent="0.2">
      <c r="K37" s="10">
        <f t="shared" ref="K37:K45" si="33">IF(AND(MAX($D$9:$D$24)&gt;=10,C16&lt;10),B16,"")</f>
        <v>8</v>
      </c>
      <c r="L37" s="18">
        <f t="shared" ref="L37:L45" si="34">IF(K37="","",VLOOKUP(K37,$B$9:$F$24,4))</f>
        <v>3.4641016151377544</v>
      </c>
      <c r="M37" s="18">
        <f t="shared" ref="M37:M45" si="35">IF(K37="","",VLOOKUP(K37,$B$9:$F$24,5))</f>
        <v>0.28768207245178085</v>
      </c>
      <c r="N37" s="53">
        <f t="shared" ref="N37:N45" si="36">IF(L37="","",($V$12*(1/(LN($V$11)*SQRT(2*PI())))*EXP(-(((LN(L37)-LN($V$10))^2)/(2*(LN($V$11)^2)))))+((1-$V$12)*(1/(LN($W$11)*SQRT(2*PI())))*EXP(-(((LN(L37)-LN($W$10))^2)/(2*(LN($W$11)^2))))))</f>
        <v>0.16708382777942385</v>
      </c>
      <c r="O37" s="36">
        <f t="shared" ref="O37:O45" si="37">IF(L37="","",M37*N37)</f>
        <v>4.8067021848761084E-2</v>
      </c>
      <c r="P37" s="36"/>
      <c r="Q37" s="34">
        <f t="shared" ref="Q37:Q45" si="38">IF(L37="","",O37*VLOOKUP(K37,$B$9:$I$24,8)/100)</f>
        <v>4.7153748433634624E-2</v>
      </c>
      <c r="R37" s="25"/>
      <c r="S37" s="25"/>
    </row>
    <row r="38" spans="2:19" ht="17.25" customHeight="1" x14ac:dyDescent="0.2">
      <c r="K38" s="10">
        <f t="shared" si="33"/>
        <v>9</v>
      </c>
      <c r="L38" s="18">
        <f t="shared" si="34"/>
        <v>4.6904157598234297</v>
      </c>
      <c r="M38" s="18">
        <f t="shared" si="35"/>
        <v>0.31845373111853459</v>
      </c>
      <c r="N38" s="53">
        <f t="shared" si="36"/>
        <v>0.19542369365567572</v>
      </c>
      <c r="O38" s="36">
        <f t="shared" si="37"/>
        <v>6.2233404393615431E-2</v>
      </c>
      <c r="P38" s="36"/>
      <c r="Q38" s="34">
        <f t="shared" si="38"/>
        <v>6.1797770562860121E-2</v>
      </c>
      <c r="R38" s="25"/>
      <c r="S38" s="25"/>
    </row>
    <row r="39" spans="2:19" ht="17.25" customHeight="1" x14ac:dyDescent="0.2">
      <c r="K39" s="10">
        <f t="shared" si="33"/>
        <v>10</v>
      </c>
      <c r="L39" s="18">
        <f t="shared" si="34"/>
        <v>6.2048368229954285</v>
      </c>
      <c r="M39" s="18">
        <f t="shared" si="35"/>
        <v>0.24116205681688804</v>
      </c>
      <c r="N39" s="53">
        <f t="shared" si="36"/>
        <v>0.2167065228798761</v>
      </c>
      <c r="O39" s="36">
        <f t="shared" si="37"/>
        <v>5.2261390783346927E-2</v>
      </c>
      <c r="P39" s="36"/>
      <c r="Q39" s="34">
        <f t="shared" si="38"/>
        <v>5.2261390783346927E-2</v>
      </c>
      <c r="R39" s="25"/>
      <c r="S39" s="25"/>
    </row>
    <row r="40" spans="2:19" ht="17.25" customHeight="1" x14ac:dyDescent="0.2">
      <c r="K40" s="10">
        <f t="shared" si="33"/>
        <v>11</v>
      </c>
      <c r="L40" s="18">
        <f t="shared" si="34"/>
        <v>8.3666002653407556</v>
      </c>
      <c r="M40" s="18">
        <f t="shared" si="35"/>
        <v>0.35667494393873239</v>
      </c>
      <c r="N40" s="53">
        <f t="shared" si="36"/>
        <v>0.2314279637266714</v>
      </c>
      <c r="O40" s="36">
        <f t="shared" si="37"/>
        <v>8.254455598806551E-2</v>
      </c>
      <c r="P40" s="36"/>
      <c r="Q40" s="34">
        <f t="shared" si="38"/>
        <v>8.254455598806551E-2</v>
      </c>
      <c r="R40" s="25"/>
      <c r="S40" s="25"/>
    </row>
    <row r="41" spans="2:19" ht="17.25" customHeight="1" x14ac:dyDescent="0.2">
      <c r="K41" s="10" t="str">
        <f t="shared" si="33"/>
        <v/>
      </c>
      <c r="L41" s="18" t="str">
        <f t="shared" si="34"/>
        <v/>
      </c>
      <c r="M41" s="18" t="str">
        <f t="shared" si="35"/>
        <v/>
      </c>
      <c r="N41" s="53" t="str">
        <f t="shared" si="36"/>
        <v/>
      </c>
      <c r="O41" s="36" t="str">
        <f t="shared" si="37"/>
        <v/>
      </c>
      <c r="P41" s="36"/>
      <c r="Q41" s="34" t="str">
        <f t="shared" si="38"/>
        <v/>
      </c>
      <c r="R41" s="25"/>
      <c r="S41" s="25"/>
    </row>
    <row r="42" spans="2:19" ht="17.25" customHeight="1" x14ac:dyDescent="0.2">
      <c r="K42" s="10" t="str">
        <f t="shared" si="33"/>
        <v/>
      </c>
      <c r="L42" s="18" t="str">
        <f t="shared" si="34"/>
        <v/>
      </c>
      <c r="M42" s="18" t="str">
        <f t="shared" si="35"/>
        <v/>
      </c>
      <c r="N42" s="53" t="str">
        <f t="shared" si="36"/>
        <v/>
      </c>
      <c r="O42" s="36" t="str">
        <f t="shared" si="37"/>
        <v/>
      </c>
      <c r="P42" s="36"/>
      <c r="Q42" s="34" t="str">
        <f t="shared" si="38"/>
        <v/>
      </c>
      <c r="R42" s="25"/>
      <c r="S42" s="25"/>
    </row>
    <row r="43" spans="2:19" ht="17.25" customHeight="1" x14ac:dyDescent="0.2">
      <c r="K43" s="10" t="str">
        <f t="shared" si="33"/>
        <v/>
      </c>
      <c r="L43" s="18" t="str">
        <f t="shared" si="34"/>
        <v/>
      </c>
      <c r="M43" s="18" t="str">
        <f t="shared" si="35"/>
        <v/>
      </c>
      <c r="N43" s="53" t="str">
        <f t="shared" si="36"/>
        <v/>
      </c>
      <c r="O43" s="36" t="str">
        <f t="shared" si="37"/>
        <v/>
      </c>
      <c r="P43" s="36"/>
      <c r="Q43" s="34" t="str">
        <f t="shared" si="38"/>
        <v/>
      </c>
      <c r="R43" s="25"/>
      <c r="S43" s="25"/>
    </row>
    <row r="44" spans="2:19" ht="17.25" customHeight="1" x14ac:dyDescent="0.2">
      <c r="K44" s="10" t="str">
        <f t="shared" si="33"/>
        <v/>
      </c>
      <c r="L44" s="18" t="str">
        <f t="shared" si="34"/>
        <v/>
      </c>
      <c r="M44" s="18" t="str">
        <f t="shared" si="35"/>
        <v/>
      </c>
      <c r="N44" s="53" t="str">
        <f t="shared" si="36"/>
        <v/>
      </c>
      <c r="O44" s="36" t="str">
        <f t="shared" si="37"/>
        <v/>
      </c>
      <c r="P44" s="36"/>
      <c r="Q44" s="34" t="str">
        <f t="shared" si="38"/>
        <v/>
      </c>
      <c r="R44" s="25"/>
      <c r="S44" s="25"/>
    </row>
    <row r="45" spans="2:19" ht="17.25" customHeight="1" x14ac:dyDescent="0.2">
      <c r="K45" s="10" t="str">
        <f t="shared" si="33"/>
        <v/>
      </c>
      <c r="L45" s="18" t="str">
        <f t="shared" si="34"/>
        <v/>
      </c>
      <c r="M45" s="18" t="str">
        <f t="shared" si="35"/>
        <v/>
      </c>
      <c r="N45" s="53" t="str">
        <f t="shared" si="36"/>
        <v/>
      </c>
      <c r="O45" s="36" t="str">
        <f t="shared" si="37"/>
        <v/>
      </c>
      <c r="P45" s="36"/>
      <c r="Q45" s="34" t="str">
        <f t="shared" si="38"/>
        <v/>
      </c>
      <c r="R45" s="24"/>
      <c r="S45" s="24" t="s">
        <v>43</v>
      </c>
    </row>
    <row r="46" spans="2:19" ht="17.25" customHeight="1" x14ac:dyDescent="0.2">
      <c r="K46" s="26"/>
      <c r="L46" s="26"/>
      <c r="M46" s="26"/>
      <c r="N46" s="51" t="s">
        <v>71</v>
      </c>
      <c r="O46" s="36">
        <f>IF(O30="","",SUM(O30:O45))</f>
        <v>0.45735083883865202</v>
      </c>
      <c r="P46" s="36"/>
      <c r="Q46" s="36">
        <f>IF(Q30="","",SUM(Q30:Q45))</f>
        <v>0.40487941659985294</v>
      </c>
      <c r="R46" s="27" t="str">
        <f>IF(P46="","",P46/O46)</f>
        <v/>
      </c>
      <c r="S46" s="32">
        <f>IF(Q46="","",Q46/O46*100)</f>
        <v>88.527096097158278</v>
      </c>
    </row>
    <row r="48" spans="2:19" ht="17.25" customHeight="1" x14ac:dyDescent="0.2">
      <c r="Q48" s="44" t="s">
        <v>83</v>
      </c>
      <c r="R48" s="45"/>
      <c r="S48" s="46" t="str">
        <f>IF(OR(R15="",R15&lt;50),"分類外",(FLOOR(S15,5)))</f>
        <v>分類外</v>
      </c>
    </row>
    <row r="49" spans="17:19" ht="17.25" customHeight="1" x14ac:dyDescent="0.2">
      <c r="Q49" s="44" t="s">
        <v>84</v>
      </c>
      <c r="R49" s="45"/>
      <c r="S49" s="46">
        <f>IF(OR(R26="",R26&lt;50),"分類外",(FLOOR(S26,5)))</f>
        <v>65</v>
      </c>
    </row>
    <row r="50" spans="17:19" ht="17.25" customHeight="1" x14ac:dyDescent="0.2">
      <c r="Q50" s="44" t="s">
        <v>85</v>
      </c>
      <c r="R50" s="45"/>
      <c r="S50" s="46">
        <f>IF(OR(S46="",S46&lt;50),"分類外",(FLOOR(S46,5)))</f>
        <v>85</v>
      </c>
    </row>
  </sheetData>
  <sheetProtection sheet="1" objects="1" scenarios="1"/>
  <mergeCells count="25">
    <mergeCell ref="C4:E4"/>
    <mergeCell ref="G4:I4"/>
    <mergeCell ref="K4:L4"/>
    <mergeCell ref="M4:O4"/>
    <mergeCell ref="Q4:S4"/>
    <mergeCell ref="C3:E3"/>
    <mergeCell ref="G3:I3"/>
    <mergeCell ref="K3:L3"/>
    <mergeCell ref="M3:O3"/>
    <mergeCell ref="Q3:S3"/>
    <mergeCell ref="C6:D6"/>
    <mergeCell ref="G6:I6"/>
    <mergeCell ref="K6:L6"/>
    <mergeCell ref="M6:N6"/>
    <mergeCell ref="Q6:S6"/>
    <mergeCell ref="C5:E5"/>
    <mergeCell ref="G5:I5"/>
    <mergeCell ref="K5:L5"/>
    <mergeCell ref="M5:O5"/>
    <mergeCell ref="Q5:S5"/>
    <mergeCell ref="B7:B8"/>
    <mergeCell ref="K7:K8"/>
    <mergeCell ref="K28:K29"/>
    <mergeCell ref="P28:P29"/>
    <mergeCell ref="R28:R29"/>
  </mergeCells>
  <phoneticPr fontId="2"/>
  <pageMargins left="0.78740157480314965" right="0.59055118110236227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計算例 (フィルタA)</vt:lpstr>
      <vt:lpstr>計算例 (フィルタA) (ISO分布)</vt:lpstr>
      <vt:lpstr>'計算例 (フィルタA)'!Print_Area</vt:lpstr>
      <vt:lpstr>'計算例 (フィルタA) (ISO分布)'!Print_Area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k-okuyama</dc:creator>
  <cp:lastModifiedBy>k-okuyama</cp:lastModifiedBy>
  <cp:lastPrinted>2017-08-14T23:51:50Z</cp:lastPrinted>
  <dcterms:created xsi:type="dcterms:W3CDTF">2017-05-05T02:26:20Z</dcterms:created>
  <dcterms:modified xsi:type="dcterms:W3CDTF">2020-05-27T05:34:08Z</dcterms:modified>
</cp:coreProperties>
</file>